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<sst xmlns="http://schemas.openxmlformats.org/spreadsheetml/2006/main" count="117" uniqueCount="104">
  <si>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City Developments Limited (C09.SI)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</si>
  <si>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</si>
  <si>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</si>
  <si>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</si>
  <si>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</si>
  <si>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</si>
  <si>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</si>
  <si>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</si>
  <si>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</si>
  <si>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</si>
  <si>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</si>
  <si>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</si>
  <si>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</si>
  <si>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</si>
  <si>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</si>
  <si>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</si>
  <si>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</si>
  <si>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</si>
  <si>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</si>
  <si>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</si>
  <si>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</si>
  <si>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</si>
  <si>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</si>
  <si>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</si>
  <si>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</si>
  <si>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</si>
  <si>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</si>
  <si>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</si>
  <si>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</si>
  <si>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</si>
  <si>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</si>
  <si>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</si>
  <si>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</si>
  <si>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</si>
  <si>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</si>
  <si>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</si>
  <si>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</si>
  <si>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</si>
  <si>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</si>
  <si>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</si>
  <si>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</si>
  <si>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</si>
  <si>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</si>
  <si>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</si>
  <si>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</si>
  <si>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</si>
  <si>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</si>
  <si>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</si>
  <si>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</si>
  <si>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</si>
  <si>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</si>
  <si>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</si>
  <si>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</si>
  <si>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</si>
  <si>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</si>
  <si>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</si>
  <si>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</si>
  <si>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</si>
  <si>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</si>
  <si>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</si>
  <si>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</si>
  <si>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</si>
  <si>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</si>
  <si>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</si>
  <si>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</si>
  <si>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</si>
  <si>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</si>
  <si>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</si>
  <si>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</si>
  <si>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</si>
  <si>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</si>
  <si>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</si>
  <si>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</si>
  <si>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</si>
  <si>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</si>
  <si>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</si>
  <si>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</si>
  <si>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</si>
  <si>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</si>
  <si>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</si>
  <si>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</si>
  <si>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</si>
  <si>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</si>
  <si>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</si>
  <si>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</si>
  <si>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</si>
  <si>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</si>
  <si>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</si>
  <si>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</si>
  <si>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</si>
  <si>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</si>
  <si>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</si>
  <si>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</si>
  <si>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</si>
  <si>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</si>
  <si>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</si>
  <si>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</si>
  <si>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</si>
  <si>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</si>
  <si>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</si>
  <si>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16.4% of revenue against depreciation of 7.5%.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</si>
  <si>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</si>
  <si>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33.0x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</si>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</sst>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0.02888169332716828</v>
      </c>
    </row>
    <row r="7" spans="1:2" x14ac:dyDescent="0.25">
      <c r="A7" t="s">
        <v>5</v>
      </c>
      <c r="B7" s="6">
        <v>0.09893941616506036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0.07522350394835343</v>
      </c>
    </row>
    <row r="10" spans="1:2" x14ac:dyDescent="0.25">
      <c r="A10" t="s">
        <v>8</v>
      </c>
      <c r="B10" s="6">
        <v>0.16421551057804268</v>
      </c>
    </row>
    <row r="11" spans="1:2" x14ac:dyDescent="0.25">
      <c r="A11" t="s">
        <v>9</v>
      </c>
      <c r="B11" s="6">
        <v>0.16084025380795772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0.04880148804889427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0.6248</v>
      </c>
      <c r="C19" s="8" t="s">
        <v>19</v>
      </c>
    </row>
    <row r="20" spans="1:2" x14ac:dyDescent="0.25">
      <c r="A20" t="s">
        <v>20</v>
      </c>
      <c r="B20" s="10">
        <f>B17+B19*B18</f>
        <v>0.082612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7191884288</v>
      </c>
    </row>
    <row r="23" spans="1:2" x14ac:dyDescent="0.25">
      <c r="A23" t="s">
        <v>24</v>
      </c>
      <c r="B23" s="11">
        <v>14054357000</v>
      </c>
    </row>
    <row r="24" spans="1:2" x14ac:dyDescent="0.25">
      <c r="A24" t="s">
        <v>25</v>
      </c>
      <c r="B24" s="10">
        <f>B22/(B22+B23)</f>
        <v>0.33850148788727247</v>
      </c>
    </row>
    <row r="25" spans="1:2" x14ac:dyDescent="0.25">
      <c r="A25" t="s">
        <v>26</v>
      </c>
      <c r="B25" s="10">
        <f>1-B24</f>
        <v>0.6614985121127275</v>
      </c>
    </row>
    <row r="26" spans="1:2" x14ac:dyDescent="0.25">
      <c r="A26" t="s">
        <v>27</v>
      </c>
      <c r="B26" s="12">
        <f>B24*B20+B25*B21*(1-B8)</f>
        <v>0.04880148804889427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3587092000</v>
      </c>
      <c r="C29" s="8" t="s">
        <v>30</v>
      </c>
    </row>
    <row r="30" spans="1:2" x14ac:dyDescent="0.25">
      <c r="A30" t="s">
        <v>31</v>
      </c>
      <c r="B30" s="11">
        <v>12043264000</v>
      </c>
    </row>
    <row r="31" spans="1:2" x14ac:dyDescent="0.25">
      <c r="A31" t="s">
        <v>32</v>
      </c>
      <c r="B31" s="13">
        <v>893401730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0.02888169332716828</v>
      </c>
      <c r="C5" s="10">
        <f>Assumptions!B6</f>
        <v>0.02888169332716828</v>
      </c>
      <c r="D5" s="10">
        <f>Assumptions!B6</f>
        <v>0.02888169332716828</v>
      </c>
      <c r="E5" s="10">
        <f>Assumptions!B6</f>
        <v>0.02888169332716828</v>
      </c>
      <c r="F5" s="10">
        <f>Assumptions!B6</f>
        <v>0.02888169332716828</v>
      </c>
    </row>
    <row r="6" spans="1:6" x14ac:dyDescent="0.25">
      <c r="A6" t="s">
        <v>43</v>
      </c>
      <c r="B6" s="18">
        <f>Assumptions!B29*(1+B5)</f>
        <v>3690693291.0803385</v>
      </c>
      <c r="C6" s="18">
        <f>B6*(1+C5)</f>
        <v>3797286762.8779583</v>
      </c>
      <c r="D6" s="18">
        <f>C6*(1+D5)</f>
        <v>3906958834.6387153</v>
      </c>
      <c r="E6" s="18">
        <f>D6*(1+E5)</f>
        <v>4019798421.5426216</v>
      </c>
      <c r="F6" s="18">
        <f>E6*(1+F5)</f>
        <v>4135897006.790651</v>
      </c>
    </row>
    <row r="7" spans="1:6" x14ac:dyDescent="0.25">
      <c r="A7" t="s">
        <v>5</v>
      </c>
      <c r="B7" s="10">
        <f>Assumptions!B7</f>
        <v>0.09893941616506036</v>
      </c>
      <c r="C7" s="10">
        <f>Assumptions!B7</f>
        <v>0.09893941616506036</v>
      </c>
      <c r="D7" s="10">
        <f>Assumptions!B7</f>
        <v>0.09893941616506036</v>
      </c>
      <c r="E7" s="10">
        <f>Assumptions!B7</f>
        <v>0.09893941616506036</v>
      </c>
      <c r="F7" s="10">
        <f>Assumptions!B7</f>
        <v>0.09893941616506036</v>
      </c>
    </row>
    <row r="8" spans="1:6" x14ac:dyDescent="0.25">
      <c r="A8" t="s">
        <v>44</v>
      </c>
      <c r="B8" s="18">
        <f>B6*B7</f>
        <v>365155039.4637939</v>
      </c>
      <c r="C8" s="18">
        <f>C6*C7</f>
        <v>375701335.33045715</v>
      </c>
      <c r="D8" s="18">
        <f>D6*D7</f>
        <v>386552226.0800791</v>
      </c>
      <c r="E8" s="18">
        <f>E6*E7</f>
        <v>397716508.9286582</v>
      </c>
      <c r="F8" s="18">
        <f>F6*F7</f>
        <v>409203235.1706877</v>
      </c>
    </row>
    <row r="9" spans="1:6" x14ac:dyDescent="0.25">
      <c r="A9" t="s">
        <v>45</v>
      </c>
      <c r="B9" s="18">
        <f>B8*(1-Assumptions!B8)</f>
        <v>273866279.59784544</v>
      </c>
      <c r="C9" s="18">
        <f>C8*(1-Assumptions!B8)</f>
        <v>281776001.49784285</v>
      </c>
      <c r="D9" s="18">
        <f>D8*(1-Assumptions!B8)</f>
        <v>289914169.5600593</v>
      </c>
      <c r="E9" s="18">
        <f>E8*(1-Assumptions!B8)</f>
        <v>298287381.6964936</v>
      </c>
      <c r="F9" s="18">
        <f>F8*(1-Assumptions!B8)</f>
        <v>306902426.37801576</v>
      </c>
    </row>
    <row r="10" spans="1:6" x14ac:dyDescent="0.25">
      <c r="A10" t="s">
        <v>46</v>
      </c>
      <c r="B10" s="18">
        <f>B6*Assumptions!B9</f>
        <v>277626881.3537434</v>
      </c>
      <c r="C10" s="18">
        <f>C6*Assumptions!B9</f>
        <v>285645215.80038035</v>
      </c>
      <c r="D10" s="18">
        <f>D6*Assumptions!B9</f>
        <v>293895133.32349974</v>
      </c>
      <c r="E10" s="18">
        <f>E6*Assumptions!B9</f>
        <v>302383322.4344963</v>
      </c>
      <c r="F10" s="18">
        <f>F6*Assumptions!B9</f>
        <v>311116664.8202997</v>
      </c>
    </row>
    <row r="11" spans="1:6" x14ac:dyDescent="0.25">
      <c r="A11" t="s">
        <v>47</v>
      </c>
      <c r="B11" s="18">
        <f>-B6*Assumptions!B10</f>
        <v>-606069083.1817144</v>
      </c>
      <c r="C11" s="18">
        <f>-C6*Assumptions!B10</f>
        <v>-623573384.5772468</v>
      </c>
      <c r="D11" s="18">
        <f>-D6*Assumptions!B10</f>
        <v>-641583239.8375913</v>
      </c>
      <c r="E11" s="18">
        <f>-E6*Assumptions!B10</f>
        <v>-660113250.2144316</v>
      </c>
      <c r="F11" s="18">
        <f>-F6*Assumptions!B10</f>
        <v>-679178438.6683252</v>
      </c>
    </row>
    <row r="12" spans="1:6" x14ac:dyDescent="0.25">
      <c r="A12" t="s">
        <v>48</v>
      </c>
      <c r="B12" s="18">
        <f>-(B6-Assumptions!B29)*Assumptions!B11</f>
        <v>-16663257.952193746</v>
      </c>
      <c r="C12" s="18">
        <f>-(C6-B6)*Assumptions!B11</f>
        <v>-17144521.058200553</v>
      </c>
      <c r="D12" s="18">
        <f>-(D6-C6)*Assumptions!B11</f>
        <v>-17639683.857644703</v>
      </c>
      <c r="E12" s="18">
        <f>-(E6-D6)*Assumptions!B11</f>
        <v>-18149147.797209397</v>
      </c>
      <c r="F12" s="18">
        <f>-(F6-E6)*Assumptions!B11</f>
        <v>-18673325.918037836</v>
      </c>
    </row>
    <row r="13" spans="1:6" x14ac:dyDescent="0.25">
      <c r="A13" s="19" t="s">
        <v>49</v>
      </c>
      <c r="B13" s="20">
        <f>B9+B10+B11+B12</f>
        <v>-71239180.1823193</v>
      </c>
      <c r="C13" s="20">
        <f>C9+C10+C11+C12</f>
        <v>-73296688.33722408</v>
      </c>
      <c r="D13" s="20">
        <f>D9+D10+D11+D12</f>
        <v>-75413620.81167701</v>
      </c>
      <c r="E13" s="20">
        <f>E9+E10+E11+E12</f>
        <v>-77591693.88065113</v>
      </c>
      <c r="F13" s="20">
        <f>F9+F10+F11+F12</f>
        <v>-79832673.38804764</v>
      </c>
    </row>
    <row r="14" spans="1:6" x14ac:dyDescent="0.25">
      <c r="A14" t="s">
        <v>50</v>
      </c>
      <c r="B14" s="21">
        <f>1/(1+Assumptions!$B$26)^(1-0.5*Assumptions!$B$32)</f>
        <v>0.9764575158765856</v>
      </c>
      <c r="C14" s="21">
        <f>1/(1+Assumptions!$B$26)^(2-0.5*Assumptions!$B$32)</f>
        <v>0.9310222449179667</v>
      </c>
      <c r="D14" s="21">
        <f>1/(1+Assumptions!$B$26)^(3-0.5*Assumptions!$B$32)</f>
        <v>0.8877011098162775</v>
      </c>
      <c r="E14" s="21">
        <f>1/(1+Assumptions!$B$26)^(4-0.5*Assumptions!$B$32)</f>
        <v>0.8463957383085764</v>
      </c>
      <c r="F14" s="21">
        <f>1/(1+Assumptions!$B$26)^(5-0.5*Assumptions!$B$32)</f>
        <v>0.8070123354641142</v>
      </c>
    </row>
    <row r="15" spans="1:6" x14ac:dyDescent="0.25">
      <c r="A15" s="19" t="s">
        <v>51</v>
      </c>
      <c r="B15" s="20">
        <f>B13*B14</f>
        <v>-69562032.91391198</v>
      </c>
      <c r="C15" s="20">
        <f>C13*C14</f>
        <v>-68240847.32077491</v>
      </c>
      <c r="D15" s="20">
        <f>D13*D14</f>
        <v>-66944754.8897896</v>
      </c>
      <c r="E15" s="20">
        <f>E13*E14</f>
        <v>-65673279.028726764</v>
      </c>
      <c r="F15" s="20">
        <f>F13*F14</f>
        <v>-64425952.197232164</v>
      </c>
    </row>
    <row r="17" spans="1:2" x14ac:dyDescent="0.25">
      <c r="A17" s="22" t="s">
        <v>52</v>
      </c>
      <c r="B17" s="23">
        <f>SUM(B15:F15)</f>
        <v>-334846866.3504355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-79832673.38804764</v>
      </c>
    </row>
    <row r="5" spans="1:2" x14ac:dyDescent="0.25">
      <c r="A5" t="s">
        <v>56</v>
      </c>
      <c r="B5" s="18">
        <f>IF(Assumptions!$B$33=0,B4,B4-Forecast!F11-Forecast!F10-Forecast!F12)</f>
        <v>306902426.37801576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0.5122794611293916</v>
      </c>
    </row>
    <row r="7" spans="1:2" x14ac:dyDescent="0.25">
      <c r="A7" t="s">
        <v>58</v>
      </c>
      <c r="B7" s="18">
        <f>-MAX(Forecast!F9,0)*B6</f>
        <v>-157219809.6042327</v>
      </c>
    </row>
    <row r="8" spans="1:2" x14ac:dyDescent="0.25">
      <c r="A8" t="s">
        <v>59</v>
      </c>
      <c r="B8" s="18">
        <f>IF(OR(Assumptions!$B$33=0,Assumptions!B12&lt;=0),B5,MAX(B5+B7,0))</f>
        <v>149682616.77378306</v>
      </c>
    </row>
    <row r="9" spans="1:2" x14ac:dyDescent="0.25">
      <c r="A9" t="s">
        <v>60</v>
      </c>
      <c r="B9" s="18">
        <f>B8*(1+Assumptions!B12)/(Assumptions!B26-Assumptions!B12)</f>
        <v>6446012193.7735405</v>
      </c>
    </row>
    <row r="10" spans="1:2" x14ac:dyDescent="0.25">
      <c r="A10" t="s">
        <v>61</v>
      </c>
      <c r="B10" s="18">
        <f>B9/(1+Assumptions!B26)^(5-0.5*Assumptions!B32)</f>
        <v>5202011354.927343</v>
      </c>
    </row>
    <row r="11" spans="1:2" x14ac:dyDescent="0.25">
      <c r="A11" t="s">
        <v>62</v>
      </c>
      <c r="B11" s="18">
        <f>Forecast!B17+B10</f>
        <v>4867164488.576908</v>
      </c>
    </row>
    <row r="12" spans="1:2" x14ac:dyDescent="0.25">
      <c r="A12" t="s">
        <v>63</v>
      </c>
      <c r="B12" s="18">
        <f>-Assumptions!B30</f>
        <v>-12043264000</v>
      </c>
    </row>
    <row r="13" spans="1:2" x14ac:dyDescent="0.25">
      <c r="A13" t="s">
        <v>64</v>
      </c>
      <c r="B13" s="18">
        <f>B11+B12</f>
        <v>-7176099511.423092</v>
      </c>
    </row>
    <row r="14" spans="1:2" x14ac:dyDescent="0.25">
      <c r="A14" s="19" t="s">
        <v>65</v>
      </c>
      <c r="B14" s="24">
        <f>B13/Assumptions!B31</f>
        <v>-8.03233223135027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720319899.9909873</v>
      </c>
    </row>
    <row r="18" spans="1:2" x14ac:dyDescent="0.25">
      <c r="A18" t="s">
        <v>60</v>
      </c>
      <c r="B18" s="18">
        <f>B17*Assumptions!B13</f>
        <v>14406397999.819746</v>
      </c>
    </row>
    <row r="19" spans="1:2" x14ac:dyDescent="0.25">
      <c r="A19" t="s">
        <v>61</v>
      </c>
      <c r="B19" s="18">
        <f>B18/(1+Assumptions!B26)^(5-0.5*Assumptions!B32)</f>
        <v>11626140895.460077</v>
      </c>
    </row>
    <row r="20" spans="1:2" x14ac:dyDescent="0.25">
      <c r="A20" t="s">
        <v>62</v>
      </c>
      <c r="B20" s="18">
        <f>Forecast!B17+B19</f>
        <v>11291294029.109642</v>
      </c>
    </row>
    <row r="21" spans="1:2" x14ac:dyDescent="0.25">
      <c r="A21" t="s">
        <v>63</v>
      </c>
      <c r="B21" s="18">
        <f>-Assumptions!B30</f>
        <v>-12043264000</v>
      </c>
    </row>
    <row r="22" spans="1:2" x14ac:dyDescent="0.25">
      <c r="A22" t="s">
        <v>64</v>
      </c>
      <c r="B22" s="18">
        <f>B20+B21</f>
        <v>-751969970.890358</v>
      </c>
    </row>
    <row r="23" spans="1:2" x14ac:dyDescent="0.25">
      <c r="A23" s="19" t="s">
        <v>65</v>
      </c>
      <c r="B23" s="25">
        <f>B22/Assumptions!B31</f>
        <v>-0.8416929871966534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-8.03233223135027</v>
      </c>
    </row>
    <row r="29" spans="1:2" x14ac:dyDescent="0.25">
      <c r="A29" s="19" t="s">
        <v>73</v>
      </c>
      <c r="B29" s="12">
        <f>B28/B26-1</f>
        <v>-1.9978052461304683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0.028801</v>
      </c>
      <c r="B5" s="31">
        <v>-3.219172068465442</v>
      </c>
      <c r="C5" s="31">
        <v>-3.16668832907554</v>
      </c>
      <c r="D5" s="31">
        <v>-3.1142045896856456</v>
      </c>
      <c r="E5" s="31" t="s">
        <v>76</v>
      </c>
      <c r="F5" s="31" t="s">
        <v>76</v>
      </c>
    </row>
    <row r="6" spans="1:6" x14ac:dyDescent="0.25">
      <c r="A6" s="30">
        <v>0.038801</v>
      </c>
      <c r="B6" s="31">
        <v>-6.292528802233544</v>
      </c>
      <c r="C6" s="31">
        <v>-6.255230848751281</v>
      </c>
      <c r="D6" s="31">
        <v>-6.217932895269024</v>
      </c>
      <c r="E6" s="31">
        <v>-6.180634941786764</v>
      </c>
      <c r="F6" s="31">
        <v>-5.982667295872907</v>
      </c>
    </row>
    <row r="7" spans="1:6" x14ac:dyDescent="0.25">
      <c r="A7" s="30">
        <v>0.048801</v>
      </c>
      <c r="B7" s="31">
        <v>-8.089069764362927</v>
      </c>
      <c r="C7" s="31">
        <v>-8.060666000178562</v>
      </c>
      <c r="D7" s="32">
        <v>-8.032262235994196</v>
      </c>
      <c r="E7" s="31">
        <v>-8.00385847180983</v>
      </c>
      <c r="F7" s="31">
        <v>-7.975454707625466</v>
      </c>
    </row>
    <row r="8" spans="1:6" x14ac:dyDescent="0.25">
      <c r="A8" s="30">
        <v>0.058801</v>
      </c>
      <c r="B8" s="31">
        <v>-9.261085913663713</v>
      </c>
      <c r="C8" s="31">
        <v>-9.238498095516162</v>
      </c>
      <c r="D8" s="31">
        <v>-9.21591027736861</v>
      </c>
      <c r="E8" s="31">
        <v>-9.19332245922106</v>
      </c>
      <c r="F8" s="31">
        <v>-9.170734641073508</v>
      </c>
    </row>
    <row r="9" spans="1:6" x14ac:dyDescent="0.25">
      <c r="A9" s="30">
        <v>0.068801</v>
      </c>
      <c r="B9" s="31">
        <v>-10.081583701744501</v>
      </c>
      <c r="C9" s="31">
        <v>-10.063078537034931</v>
      </c>
      <c r="D9" s="31">
        <v>-10.044573372325367</v>
      </c>
      <c r="E9" s="31">
        <v>-10.026068207615799</v>
      </c>
      <c r="F9" s="31">
        <v>-10.00756304290623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3587092000</v>
      </c>
      <c r="C5" s="18">
        <v>3271197000</v>
      </c>
      <c r="D5" s="18">
        <v>4941121000</v>
      </c>
      <c r="E5" s="18">
        <v>3293413000</v>
      </c>
      <c r="F5" s="8" t="s">
        <v>85</v>
      </c>
    </row>
    <row r="6" spans="1:6" x14ac:dyDescent="0.25">
      <c r="A6" t="s">
        <v>44</v>
      </c>
      <c r="B6" s="18">
        <v>293469000</v>
      </c>
      <c r="C6" s="18">
        <v>413652000</v>
      </c>
      <c r="D6" s="18">
        <v>660291000</v>
      </c>
      <c r="E6" s="18">
        <v>177385000</v>
      </c>
      <c r="F6" s="8" t="s">
        <v>86</v>
      </c>
    </row>
    <row r="7" spans="1:6" x14ac:dyDescent="0.25">
      <c r="A7" t="s">
        <v>87</v>
      </c>
      <c r="B7" s="18">
        <v>289738000</v>
      </c>
      <c r="C7" s="18">
        <v>277323000</v>
      </c>
      <c r="D7" s="18">
        <v>254030000</v>
      </c>
      <c r="E7" s="18">
        <v>276426000</v>
      </c>
      <c r="F7" s="8" t="s">
        <v>88</v>
      </c>
    </row>
    <row r="8" spans="1:6" x14ac:dyDescent="0.25">
      <c r="A8" t="s">
        <v>89</v>
      </c>
      <c r="B8" s="18">
        <v>843921000</v>
      </c>
      <c r="C8" s="18">
        <v>654235000</v>
      </c>
      <c r="D8" s="18">
        <v>511723000</v>
      </c>
      <c r="E8" s="18">
        <v>388732000</v>
      </c>
      <c r="F8" s="8" t="s">
        <v>90</v>
      </c>
    </row>
    <row r="9" spans="1:6" x14ac:dyDescent="0.25">
      <c r="A9" t="s">
        <v>91</v>
      </c>
      <c r="B9" s="18">
        <v>2075485000</v>
      </c>
      <c r="C9" s="18">
        <v>-268591000</v>
      </c>
      <c r="D9" s="18">
        <v>-241784000</v>
      </c>
      <c r="E9" s="18">
        <v>176736000</v>
      </c>
      <c r="F9" s="8" t="s">
        <v>92</v>
      </c>
    </row>
    <row r="10" spans="1:6" x14ac:dyDescent="0.25">
      <c r="A10" t="s">
        <v>93</v>
      </c>
      <c r="B10" s="18">
        <v>14054357000</v>
      </c>
      <c r="C10" s="18">
        <v>13976567000</v>
      </c>
      <c r="D10" s="18">
        <v>12296873000</v>
      </c>
      <c r="E10" s="18">
        <v>10366861000</v>
      </c>
      <c r="F10" s="8" t="s">
        <v>94</v>
      </c>
    </row>
    <row r="11" spans="1:6" x14ac:dyDescent="0.25">
      <c r="A11" t="s">
        <v>95</v>
      </c>
      <c r="B11" s="18">
        <v>2011093000</v>
      </c>
      <c r="C11" s="18">
        <v>2656587000</v>
      </c>
      <c r="D11" s="18">
        <v>2406197000</v>
      </c>
      <c r="E11" s="18">
        <v>2370301000</v>
      </c>
      <c r="F11" s="8" t="s">
        <v>96</v>
      </c>
    </row>
    <row r="12" spans="1:6" x14ac:dyDescent="0.25">
      <c r="A12" t="s">
        <v>32</v>
      </c>
      <c r="B12" s="34">
        <v>893401730</v>
      </c>
      <c r="C12" s="34">
        <v>896873407</v>
      </c>
      <c r="D12" s="34">
        <v>951518047</v>
      </c>
      <c r="E12" s="34">
        <v>951900228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38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2026-09-19T00:07:52Z</dcterms:modified>
</cp:coreProperties>
</file>