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<sst xmlns="http://schemas.openxmlformats.org/spreadsheetml/2006/main" count="114" uniqueCount="102">
  <si>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CapitaLand Integrated Commercial Trust (C38U.SI)</t>
  </si>
  <si>
    <t>DCF Studio - Base case</t>
  </si>
  <si>
    <t>Blue figures on a cream fill are inputs. Every other figure is a formula - change an input and the model reprices. Currency figures are SGD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</si>
  <si>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</si>
  <si>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</si>
  <si>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</si>
  <si>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</si>
  <si>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</si>
  <si>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</si>
  <si>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</si>
  <si>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</si>
  <si>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</si>
  <si>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</si>
  <si>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</si>
  <si>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</si>
  <si>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</si>
  <si>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</si>
  <si>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</si>
  <si>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</si>
  <si>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</si>
  <si>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</si>
  <si>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</si>
  <si>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</si>
  <si>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(SGD m)</t>
  </si>
  <si>
    <t>Total debt (SGD m)</t>
  </si>
  <si>
    <t>Equity weight</t>
  </si>
  <si>
    <t>Debt weight</t>
  </si>
  <si>
    <t>WACC</t>
  </si>
  <si>
    <t>Base year</t>
  </si>
  <si>
    <t>Revenue, last reported year (SGD m)</t>
  </si>
  <si>
    <t>Fiscal year ended 2025-12-31</t>
  </si>
  <si>
    <t>Net debt (SGD m)</t>
  </si>
  <si>
    <t>Diluted shares</t>
  </si>
  <si>
    <t>Mid-year discounting (1 = yes, 0 = no)</t>
  </si>
  <si>
    <t>Terminal year on a steady-state footing (1 = yes, 0 = no)</t>
  </si>
  <si>
    <t>Forecast cashflows (SGD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</si>
  <si>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</si>
  <si>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</si>
  <si>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</si>
  <si>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</si>
  <si>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</si>
  <si>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</si>
  <si>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</si>
  <si>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</si>
  <si>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</si>
  <si>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</si>
  <si>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</si>
  <si>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</si>
  <si>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</si>
  <si>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</si>
  <si>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</si>
  <si>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</si>
  <si>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</si>
  <si>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(SGD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</si>
  <si>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</si>
  <si>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</si>
  <si>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</si>
  <si>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</si>
  <si>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</si>
  <si>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</si>
  <si>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</si>
  <si>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</si>
  <si>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</si>
  <si>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</si>
  <si>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</si>
  <si>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</si>
  <si>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</si>
  <si>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</si>
  <si>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</si>
  <si>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(SGD)</t>
  </si>
  <si>
    <t>Conversion, SGD to SGD</t>
  </si>
  <si>
    <t>Same currency, no conversion</t>
  </si>
  <si>
    <t>Value per share (SGD)</t>
  </si>
  <si>
    <t>Implied upside</t>
  </si>
  <si>
    <t>Value per share (SGD)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</si>
  <si>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</si>
  <si>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(SGD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</si>
  <si>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</si>
  <si>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</si>
  <si>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</si>
  <si>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</si>
  <si>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</si>
  <si>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</si>
  <si>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</si>
  <si>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</si>
  <si>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</si>
  <si>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</si>
  <si>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</si>
  <si>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</si>
  <si>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</si>
  <si>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</si>
  <si>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</si>
  <si>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</si>
  <si>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</si>
  <si>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</si>
  <si>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</si>
  <si>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</si>
  <si>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</si>
  <si>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11.3% of revenue against depreciation of 0.1%.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</si>
  <si>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</si>
  <si>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25.9x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</si>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</sst>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0.03944493741622801</v>
      </c>
    </row>
    <row r="7" spans="1:2" x14ac:dyDescent="0.25">
      <c r="A7" t="s">
        <v>5</v>
      </c>
      <c r="B7" s="6">
        <v>0.6646849475036252</v>
      </c>
    </row>
    <row r="8" spans="1:2" x14ac:dyDescent="0.25">
      <c r="A8" t="s">
        <v>6</v>
      </c>
      <c r="B8" s="6">
        <v>0.007490058460010599</v>
      </c>
    </row>
    <row r="9" spans="1:2" x14ac:dyDescent="0.25">
      <c r="A9" t="s">
        <v>7</v>
      </c>
      <c r="B9" s="6">
        <v>0.0010404964480333271</v>
      </c>
    </row>
    <row r="10" spans="1:2" x14ac:dyDescent="0.25">
      <c r="A10" t="s">
        <v>8</v>
      </c>
      <c r="B10" s="6">
        <v>0.11335977950325424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0.06966323623560666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0.66433</v>
      </c>
      <c r="C19" s="8" t="s">
        <v>19</v>
      </c>
    </row>
    <row r="20" spans="1:2" x14ac:dyDescent="0.25">
      <c r="A20" t="s">
        <v>20</v>
      </c>
      <c r="B20" s="10">
        <f>B17+B19*B18</f>
        <v>0.08518145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18051774464</v>
      </c>
    </row>
    <row r="23" spans="1:2" x14ac:dyDescent="0.25">
      <c r="A23" t="s">
        <v>24</v>
      </c>
      <c r="B23" s="11">
        <v>10012621000</v>
      </c>
    </row>
    <row r="24" spans="1:2" x14ac:dyDescent="0.25">
      <c r="A24" t="s">
        <v>25</v>
      </c>
      <c r="B24" s="10">
        <f>B22/(B22+B23)</f>
        <v>0.6432269131596356</v>
      </c>
    </row>
    <row r="25" spans="1:2" x14ac:dyDescent="0.25">
      <c r="A25" t="s">
        <v>26</v>
      </c>
      <c r="B25" s="10">
        <f>1-B24</f>
        <v>0.35677308684036435</v>
      </c>
    </row>
    <row r="26" spans="1:2" x14ac:dyDescent="0.25">
      <c r="A26" t="s">
        <v>27</v>
      </c>
      <c r="B26" s="12">
        <f>B24*B20+B25*B21*(1-B8)</f>
        <v>0.06966323623560666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1619174000</v>
      </c>
      <c r="C29" s="8" t="s">
        <v>30</v>
      </c>
    </row>
    <row r="30" spans="1:2" x14ac:dyDescent="0.25">
      <c r="A30" t="s">
        <v>31</v>
      </c>
      <c r="B30" s="11">
        <v>9863132000</v>
      </c>
    </row>
    <row r="31" spans="1:2" x14ac:dyDescent="0.25">
      <c r="A31" t="s">
        <v>32</v>
      </c>
      <c r="B31" s="13">
        <v>7439211000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0.03944493741622801</v>
      </c>
      <c r="C5" s="10">
        <f>Assumptions!B6</f>
        <v>0.03944493741622801</v>
      </c>
      <c r="D5" s="10">
        <f>Assumptions!B6</f>
        <v>0.03944493741622801</v>
      </c>
      <c r="E5" s="10">
        <f>Assumptions!B6</f>
        <v>0.03944493741622801</v>
      </c>
      <c r="F5" s="10">
        <f>Assumptions!B6</f>
        <v>0.03944493741622801</v>
      </c>
    </row>
    <row r="6" spans="1:6" x14ac:dyDescent="0.25">
      <c r="A6" t="s">
        <v>43</v>
      </c>
      <c r="B6" s="18">
        <f>Assumptions!B29*(1+B5)</f>
        <v>1683042217.0959835</v>
      </c>
      <c r="C6" s="18">
        <f>B6*(1+C5)</f>
        <v>1749429712.0182042</v>
      </c>
      <c r="D6" s="18">
        <f>C6*(1+D5)</f>
        <v>1818435857.5228522</v>
      </c>
      <c r="E6" s="18">
        <f>D6*(1+E5)</f>
        <v>1890163946.118266</v>
      </c>
      <c r="F6" s="18">
        <f>E6*(1+F5)</f>
        <v>1964721344.6793118</v>
      </c>
    </row>
    <row r="7" spans="1:6" x14ac:dyDescent="0.25">
      <c r="A7" t="s">
        <v>5</v>
      </c>
      <c r="B7" s="10">
        <f>Assumptions!B7</f>
        <v>0.6646849475036252</v>
      </c>
      <c r="C7" s="10">
        <f>Assumptions!B7</f>
        <v>0.6646849475036252</v>
      </c>
      <c r="D7" s="10">
        <f>Assumptions!B7</f>
        <v>0.6646849475036252</v>
      </c>
      <c r="E7" s="10">
        <f>Assumptions!B7</f>
        <v>0.6646849475036252</v>
      </c>
      <c r="F7" s="10">
        <f>Assumptions!B7</f>
        <v>0.6646849475036252</v>
      </c>
    </row>
    <row r="8" spans="1:6" x14ac:dyDescent="0.25">
      <c r="A8" t="s">
        <v>44</v>
      </c>
      <c r="B8" s="18">
        <f>B6*B7</f>
        <v>1118692827.7168288</v>
      </c>
      <c r="C8" s="18">
        <f>C6*C7</f>
        <v>1162819596.2941022</v>
      </c>
      <c r="D8" s="18">
        <f>D6*D7</f>
        <v>1208686942.4962866</v>
      </c>
      <c r="E8" s="18">
        <f>E6*E7</f>
        <v>1256363523.2988646</v>
      </c>
      <c r="F8" s="18">
        <f>F6*F7</f>
        <v>1305920703.8474202</v>
      </c>
    </row>
    <row r="9" spans="1:6" x14ac:dyDescent="0.25">
      <c r="A9" t="s">
        <v>45</v>
      </c>
      <c r="B9" s="18">
        <f>B8*(1-Assumptions!B8)</f>
        <v>1110313753.0384352</v>
      </c>
      <c r="C9" s="18">
        <f>C8*(1-Assumptions!B8)</f>
        <v>1154110009.5394135</v>
      </c>
      <c r="D9" s="18">
        <f>D8*(1-Assumptions!B8)</f>
        <v>1199633806.637138</v>
      </c>
      <c r="E9" s="18">
        <f>E8*(1-Assumptions!B8)</f>
        <v>1246953287.0623312</v>
      </c>
      <c r="F9" s="18">
        <f>F8*(1-Assumptions!B8)</f>
        <v>1296139281.431465</v>
      </c>
    </row>
    <row r="10" spans="1:6" x14ac:dyDescent="0.25">
      <c r="A10" t="s">
        <v>46</v>
      </c>
      <c r="B10" s="18">
        <f>B6*Assumptions!B9</f>
        <v>1751199.4487785066</v>
      </c>
      <c r="C10" s="18">
        <f>C6*Assumptions!B9</f>
        <v>1820275.401438908</v>
      </c>
      <c r="D10" s="18">
        <f>D6*Assumptions!B9</f>
        <v>1892076.050728965</v>
      </c>
      <c r="E10" s="18">
        <f>E6*Assumptions!B9</f>
        <v>1966708.872136713</v>
      </c>
      <c r="F10" s="18">
        <f>F6*Assumptions!B9</f>
        <v>2044285.5805140862</v>
      </c>
    </row>
    <row r="11" spans="1:6" x14ac:dyDescent="0.25">
      <c r="A11" t="s">
        <v>47</v>
      </c>
      <c r="B11" s="18">
        <f>-B6*Assumptions!B10</f>
        <v>-190789294.62466884</v>
      </c>
      <c r="C11" s="18">
        <f>-C6*Assumptions!B10</f>
        <v>-198314966.4108252</v>
      </c>
      <c r="D11" s="18">
        <f>-D6*Assumptions!B10</f>
        <v>-206137487.84960157</v>
      </c>
      <c r="E11" s="18">
        <f>-E6*Assumptions!B10</f>
        <v>-214268568.15696758</v>
      </c>
      <c r="F11" s="18">
        <f>-F6*Assumptions!B10</f>
        <v>-222720378.41818395</v>
      </c>
    </row>
    <row r="12" spans="1:6" x14ac:dyDescent="0.25">
      <c r="A12" t="s">
        <v>48</v>
      </c>
      <c r="B12" s="18">
        <f>-(B6-Assumptions!B29)*Assumptions!B11</f>
        <v>-63868217.095983505</v>
      </c>
      <c r="C12" s="18">
        <f>-(C6-B6)*Assumptions!B11</f>
        <v>-66387494.92222071</v>
      </c>
      <c r="D12" s="18">
        <f>-(D6-C6)*Assumptions!B11</f>
        <v>-69006145.50464797</v>
      </c>
      <c r="E12" s="18">
        <f>-(E6-D6)*Assumptions!B11</f>
        <v>-71728088.59541392</v>
      </c>
      <c r="F12" s="18">
        <f>-(F6-E6)*Assumptions!B11</f>
        <v>-74557398.56104565</v>
      </c>
    </row>
    <row r="13" spans="1:6" x14ac:dyDescent="0.25">
      <c r="A13" s="19" t="s">
        <v>49</v>
      </c>
      <c r="B13" s="20">
        <f>B9+B10+B11+B12</f>
        <v>857407440.7665613</v>
      </c>
      <c r="C13" s="20">
        <f>C9+C10+C11+C12</f>
        <v>891227823.6078064</v>
      </c>
      <c r="D13" s="20">
        <f>D9+D10+D11+D12</f>
        <v>926382249.3336174</v>
      </c>
      <c r="E13" s="20">
        <f>E9+E10+E11+E12</f>
        <v>962923339.1820865</v>
      </c>
      <c r="F13" s="20">
        <f>F9+F10+F11+F12</f>
        <v>1000905790.0327494</v>
      </c>
    </row>
    <row r="14" spans="1:6" x14ac:dyDescent="0.25">
      <c r="A14" t="s">
        <v>50</v>
      </c>
      <c r="B14" s="21">
        <f>1/(1+Assumptions!$B$26)^(1-0.5*Assumptions!$B$32)</f>
        <v>0.9668886566569019</v>
      </c>
      <c r="C14" s="21">
        <f>1/(1+Assumptions!$B$26)^(2-0.5*Assumptions!$B$32)</f>
        <v>0.9039187511572406</v>
      </c>
      <c r="D14" s="21">
        <f>1/(1+Assumptions!$B$26)^(3-0.5*Assumptions!$B$32)</f>
        <v>0.8450498442279278</v>
      </c>
      <c r="E14" s="21">
        <f>1/(1+Assumptions!$B$26)^(4-0.5*Assumptions!$B$32)</f>
        <v>0.7900148529006703</v>
      </c>
      <c r="F14" s="21">
        <f>1/(1+Assumptions!$B$26)^(5-0.5*Assumptions!$B$32)</f>
        <v>0.7385640883395377</v>
      </c>
    </row>
    <row r="15" spans="1:6" x14ac:dyDescent="0.25">
      <c r="A15" s="19" t="s">
        <v>51</v>
      </c>
      <c r="B15" s="20">
        <f>B13*B14</f>
        <v>829017528.6104126</v>
      </c>
      <c r="C15" s="20">
        <f>C13*C14</f>
        <v>805597541.3121539</v>
      </c>
      <c r="D15" s="20">
        <f>D13*D14</f>
        <v>782839175.4948908</v>
      </c>
      <c r="E15" s="20">
        <f>E13*E14</f>
        <v>760723740.1585582</v>
      </c>
      <c r="F15" s="20">
        <f>F13*F14</f>
        <v>739233072.3293023</v>
      </c>
    </row>
    <row r="17" spans="1:2" x14ac:dyDescent="0.25">
      <c r="A17" s="22" t="s">
        <v>52</v>
      </c>
      <c r="B17" s="23">
        <f>SUM(B15:F15)</f>
        <v>3917411057.905318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1000905790.0327494</v>
      </c>
    </row>
    <row r="5" spans="1:2" x14ac:dyDescent="0.25">
      <c r="A5" t="s">
        <v>56</v>
      </c>
      <c r="B5" s="18">
        <f>IF(Assumptions!$B$33=0,B4,B4-Forecast!F11-Forecast!F10-Forecast!F12)</f>
        <v>1296139281.431465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0.358869345596406</v>
      </c>
    </row>
    <row r="7" spans="1:2" x14ac:dyDescent="0.25">
      <c r="A7" t="s">
        <v>58</v>
      </c>
      <c r="B7" s="18">
        <f>-MAX(Forecast!F9,0)*B6</f>
        <v>-465144655.7291057</v>
      </c>
    </row>
    <row r="8" spans="1:2" x14ac:dyDescent="0.25">
      <c r="A8" t="s">
        <v>59</v>
      </c>
      <c r="B8" s="18">
        <f>IF(OR(Assumptions!$B$33=0,Assumptions!B12&lt;=0),B5,MAX(B5+B7,0))</f>
        <v>830994625.7023592</v>
      </c>
    </row>
    <row r="9" spans="1:2" x14ac:dyDescent="0.25">
      <c r="A9" t="s">
        <v>60</v>
      </c>
      <c r="B9" s="18">
        <f>B8*(1+Assumptions!B12)/(Assumptions!B26-Assumptions!B12)</f>
        <v>19070930884.893333</v>
      </c>
    </row>
    <row r="10" spans="1:2" x14ac:dyDescent="0.25">
      <c r="A10" t="s">
        <v>61</v>
      </c>
      <c r="B10" s="18">
        <f>B9/(1+Assumptions!B26)^(5-0.5*Assumptions!B32)</f>
        <v>14085104682.787577</v>
      </c>
    </row>
    <row r="11" spans="1:2" x14ac:dyDescent="0.25">
      <c r="A11" t="s">
        <v>62</v>
      </c>
      <c r="B11" s="18">
        <f>Forecast!B17+B10</f>
        <v>18002515740.692894</v>
      </c>
    </row>
    <row r="12" spans="1:2" x14ac:dyDescent="0.25">
      <c r="A12" t="s">
        <v>63</v>
      </c>
      <c r="B12" s="18">
        <f>-Assumptions!B30</f>
        <v>-9863132000</v>
      </c>
    </row>
    <row r="13" spans="1:2" x14ac:dyDescent="0.25">
      <c r="A13" t="s">
        <v>64</v>
      </c>
      <c r="B13" s="18">
        <f>B11+B12</f>
        <v>8139383740.692894</v>
      </c>
    </row>
    <row r="14" spans="1:2" x14ac:dyDescent="0.25">
      <c r="A14" s="19" t="s">
        <v>65</v>
      </c>
      <c r="B14" s="24">
        <f>B13/Assumptions!B31</f>
        <v>1.094119220531975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1307964989.4279344</v>
      </c>
    </row>
    <row r="18" spans="1:2" x14ac:dyDescent="0.25">
      <c r="A18" t="s">
        <v>60</v>
      </c>
      <c r="B18" s="18">
        <f>B17*Assumptions!B13</f>
        <v>26159299788.55869</v>
      </c>
    </row>
    <row r="19" spans="1:2" x14ac:dyDescent="0.25">
      <c r="A19" t="s">
        <v>61</v>
      </c>
      <c r="B19" s="18">
        <f>B18/(1+Assumptions!B26)^(5-0.5*Assumptions!B32)</f>
        <v>19320319399.937508</v>
      </c>
    </row>
    <row r="20" spans="1:2" x14ac:dyDescent="0.25">
      <c r="A20" t="s">
        <v>62</v>
      </c>
      <c r="B20" s="18">
        <f>Forecast!B17+B19</f>
        <v>23237730457.842827</v>
      </c>
    </row>
    <row r="21" spans="1:2" x14ac:dyDescent="0.25">
      <c r="A21" t="s">
        <v>63</v>
      </c>
      <c r="B21" s="18">
        <f>-Assumptions!B30</f>
        <v>-9863132000</v>
      </c>
    </row>
    <row r="22" spans="1:2" x14ac:dyDescent="0.25">
      <c r="A22" t="s">
        <v>64</v>
      </c>
      <c r="B22" s="18">
        <f>B20+B21</f>
        <v>13374598457.842827</v>
      </c>
    </row>
    <row r="23" spans="1:2" x14ac:dyDescent="0.25">
      <c r="A23" s="19" t="s">
        <v>65</v>
      </c>
      <c r="B23" s="25">
        <f>B22/Assumptions!B31</f>
        <v>1.797851742320903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2.29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1.094119220531975</v>
      </c>
    </row>
    <row r="29" spans="1:2" x14ac:dyDescent="0.25">
      <c r="A29" s="19" t="s">
        <v>73</v>
      </c>
      <c r="B29" s="12">
        <f>B28/B26-1</f>
        <v>-0.5222186809904039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0.049663</v>
      </c>
      <c r="B5" s="31">
        <v>2.0888819199495208</v>
      </c>
      <c r="C5" s="31">
        <v>2.1029857592157297</v>
      </c>
      <c r="D5" s="31">
        <v>2.117089598481937</v>
      </c>
      <c r="E5" s="31">
        <v>2.1311934377481454</v>
      </c>
      <c r="F5" s="31">
        <v>2.1452972770143535</v>
      </c>
    </row>
    <row r="6" spans="1:6" x14ac:dyDescent="0.25">
      <c r="A6" s="30">
        <v>0.059663</v>
      </c>
      <c r="B6" s="31">
        <v>1.4966850651851549</v>
      </c>
      <c r="C6" s="31">
        <v>1.5079346047190925</v>
      </c>
      <c r="D6" s="31">
        <v>1.5191841442530292</v>
      </c>
      <c r="E6" s="31">
        <v>1.5304336837869668</v>
      </c>
      <c r="F6" s="31">
        <v>1.5416832233209032</v>
      </c>
    </row>
    <row r="7" spans="1:6" x14ac:dyDescent="0.25">
      <c r="A7" s="30">
        <v>0.069663</v>
      </c>
      <c r="B7" s="31">
        <v>1.0756559208395216</v>
      </c>
      <c r="C7" s="31">
        <v>1.084891863871839</v>
      </c>
      <c r="D7" s="32">
        <v>1.0941278069041558</v>
      </c>
      <c r="E7" s="31">
        <v>1.103363749936473</v>
      </c>
      <c r="F7" s="31">
        <v>1.1125996929687894</v>
      </c>
    </row>
    <row r="8" spans="1:6" x14ac:dyDescent="0.25">
      <c r="A8" s="30">
        <v>0.079663</v>
      </c>
      <c r="B8" s="31">
        <v>0.7612760037520381</v>
      </c>
      <c r="C8" s="31">
        <v>0.7690213557601026</v>
      </c>
      <c r="D8" s="31">
        <v>0.7767667077681668</v>
      </c>
      <c r="E8" s="31">
        <v>0.7845120597762313</v>
      </c>
      <c r="F8" s="31">
        <v>0.7922574117842958</v>
      </c>
    </row>
    <row r="9" spans="1:6" x14ac:dyDescent="0.25">
      <c r="A9" s="30">
        <v>0.089663</v>
      </c>
      <c r="B9" s="31">
        <v>0.5178129869898329</v>
      </c>
      <c r="C9" s="31">
        <v>0.52441485161114</v>
      </c>
      <c r="D9" s="31">
        <v>0.5310167162324472</v>
      </c>
      <c r="E9" s="31">
        <v>0.5376185808537538</v>
      </c>
      <c r="F9" s="31">
        <v>0.5442204454750609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1619174000</v>
      </c>
      <c r="C5" s="18">
        <v>1586329000</v>
      </c>
      <c r="D5" s="18">
        <v>1559934000</v>
      </c>
      <c r="E5" s="18">
        <v>1441747000</v>
      </c>
      <c r="F5" s="8" t="s">
        <v>84</v>
      </c>
    </row>
    <row r="6" spans="1:6" x14ac:dyDescent="0.25">
      <c r="A6" t="s">
        <v>44</v>
      </c>
      <c r="B6" s="18">
        <v>1077018000</v>
      </c>
      <c r="C6" s="18">
        <v>1049505000</v>
      </c>
      <c r="D6" s="18">
        <v>1052017000</v>
      </c>
      <c r="E6" s="18">
        <v>948068000</v>
      </c>
      <c r="F6" s="8" t="s">
        <v>85</v>
      </c>
    </row>
    <row r="7" spans="1:6" x14ac:dyDescent="0.25">
      <c r="A7" t="s">
        <v>86</v>
      </c>
      <c r="B7" s="18">
        <v>584000</v>
      </c>
      <c r="C7" s="18">
        <v>719000</v>
      </c>
      <c r="D7" s="18">
        <v>712000</v>
      </c>
      <c r="E7" s="18">
        <v>4169000</v>
      </c>
      <c r="F7" s="8" t="s">
        <v>87</v>
      </c>
    </row>
    <row r="8" spans="1:6" x14ac:dyDescent="0.25">
      <c r="A8" t="s">
        <v>88</v>
      </c>
      <c r="B8" s="18">
        <v>285625000</v>
      </c>
      <c r="C8" s="18">
        <v>178705000</v>
      </c>
      <c r="D8" s="18">
        <v>118598000</v>
      </c>
      <c r="E8" s="18">
        <v>127388000</v>
      </c>
      <c r="F8" s="8" t="s">
        <v>89</v>
      </c>
    </row>
    <row r="9" spans="1:6" x14ac:dyDescent="0.25">
      <c r="A9" t="s">
        <v>90</v>
      </c>
      <c r="B9" s="18">
        <v>34149000</v>
      </c>
      <c r="C9" s="18">
        <v>27434000</v>
      </c>
      <c r="D9" s="18">
        <v>-24525000</v>
      </c>
      <c r="E9" s="18">
        <v>-53670000</v>
      </c>
      <c r="F9" s="8" t="s">
        <v>91</v>
      </c>
    </row>
    <row r="10" spans="1:6" x14ac:dyDescent="0.25">
      <c r="A10" t="s">
        <v>92</v>
      </c>
      <c r="B10" s="18">
        <v>10012621000</v>
      </c>
      <c r="C10" s="18">
        <v>8972278000</v>
      </c>
      <c r="D10" s="18">
        <v>9503258000</v>
      </c>
      <c r="E10" s="18">
        <v>9611262000</v>
      </c>
      <c r="F10" s="8" t="s">
        <v>93</v>
      </c>
    </row>
    <row r="11" spans="1:6" x14ac:dyDescent="0.25">
      <c r="A11" t="s">
        <v>94</v>
      </c>
      <c r="B11" s="18">
        <v>149489000</v>
      </c>
      <c r="C11" s="18">
        <v>156358000</v>
      </c>
      <c r="D11" s="18">
        <v>140700000</v>
      </c>
      <c r="E11" s="18">
        <v>248396000</v>
      </c>
      <c r="F11" s="8" t="s">
        <v>95</v>
      </c>
    </row>
    <row r="12" spans="1:6" x14ac:dyDescent="0.25">
      <c r="A12" t="s">
        <v>32</v>
      </c>
      <c r="B12" s="34">
        <v>7439211000</v>
      </c>
      <c r="C12" s="34">
        <v>6880161000</v>
      </c>
      <c r="D12" s="34">
        <v>6663410000</v>
      </c>
      <c r="E12" s="34">
        <v>6656809369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2026-09-19T00:08:39Z</dcterms:modified>
</cp:coreProperties>
</file>