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<sst xmlns="http://schemas.openxmlformats.org/spreadsheetml/2006/main" count="112" uniqueCount="100">
  <si>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Singapore Airlines Limited (C6L.SI)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</si>
  <si>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</si>
  <si>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</si>
  <si>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</si>
  <si>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</si>
  <si>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</si>
  <si>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</si>
  <si>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</si>
  <si>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</si>
  <si>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</si>
  <si>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</si>
  <si>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</si>
  <si>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</si>
  <si>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</si>
  <si>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</si>
  <si>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</si>
  <si>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</si>
  <si>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</si>
  <si>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</si>
  <si>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</si>
  <si>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</si>
  <si>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</si>
  <si>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</si>
  <si>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</si>
  <si>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</si>
  <si>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</si>
  <si>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</si>
  <si>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</si>
  <si>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</si>
  <si>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</si>
  <si>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2026-03-31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</si>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</sst>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0.04907125376211874</v>
      </c>
    </row>
    <row r="7" spans="1:2" x14ac:dyDescent="0.25">
      <c r="A7" t="s">
        <v>5</v>
      </c>
      <c r="B7" s="6">
        <v>0.12481498502766786</v>
      </c>
    </row>
    <row r="8" spans="1:2" x14ac:dyDescent="0.25">
      <c r="A8" t="s">
        <v>6</v>
      </c>
      <c r="B8" s="6">
        <v>0.14609057364080547</v>
      </c>
    </row>
    <row r="9" spans="1:2" x14ac:dyDescent="0.25">
      <c r="A9" t="s">
        <v>7</v>
      </c>
      <c r="B9" s="6">
        <v>0.1194261700958103</v>
      </c>
    </row>
    <row r="10" spans="1:2" x14ac:dyDescent="0.25">
      <c r="A10" t="s">
        <v>8</v>
      </c>
      <c r="B10" s="6">
        <v>0.09865157043765879</v>
      </c>
    </row>
    <row r="11" spans="1:2" x14ac:dyDescent="0.25">
      <c r="A11" t="s">
        <v>9</v>
      </c>
      <c r="B11" s="6">
        <v>-0.029970110671298168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4.5294024595831415</v>
      </c>
    </row>
    <row r="14" spans="1:3" x14ac:dyDescent="0.25">
      <c r="A14" t="s">
        <v>12</v>
      </c>
      <c r="B14" s="6">
        <v>0.07829044966258834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0.66031</v>
      </c>
      <c r="C19" s="8" t="s">
        <v>19</v>
      </c>
    </row>
    <row r="20" spans="1:2" x14ac:dyDescent="0.25">
      <c r="A20" t="s">
        <v>20</v>
      </c>
      <c r="B20" s="10">
        <f>B17+B19*B18</f>
        <v>0.08492015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20530382848</v>
      </c>
    </row>
    <row r="23" spans="1:2" x14ac:dyDescent="0.25">
      <c r="A23" t="s">
        <v>24</v>
      </c>
      <c r="B23" s="11">
        <v>10644700000</v>
      </c>
    </row>
    <row r="24" spans="1:2" x14ac:dyDescent="0.25">
      <c r="A24" t="s">
        <v>25</v>
      </c>
      <c r="B24" s="10">
        <f>B22/(B22+B23)</f>
        <v>0.6585510276941285</v>
      </c>
    </row>
    <row r="25" spans="1:2" x14ac:dyDescent="0.25">
      <c r="A25" t="s">
        <v>26</v>
      </c>
      <c r="B25" s="10">
        <f>1-B24</f>
        <v>0.34144897230587146</v>
      </c>
    </row>
    <row r="26" spans="1:2" x14ac:dyDescent="0.25">
      <c r="A26" t="s">
        <v>27</v>
      </c>
      <c r="B26" s="12">
        <f>B24*B20+B25*B21*(1-B8)</f>
        <v>0.06817004488949056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20522000000</v>
      </c>
      <c r="C29" s="8" t="s">
        <v>30</v>
      </c>
    </row>
    <row r="30" spans="1:2" x14ac:dyDescent="0.25">
      <c r="A30" t="s">
        <v>31</v>
      </c>
      <c r="B30" s="11">
        <v>2135200000</v>
      </c>
    </row>
    <row r="31" spans="1:2" x14ac:dyDescent="0.25">
      <c r="A31" t="s">
        <v>32</v>
      </c>
      <c r="B31" s="13">
        <v>3094700000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0.04907125376211874</v>
      </c>
      <c r="C5" s="10">
        <f>Assumptions!B6</f>
        <v>0.04907125376211874</v>
      </c>
      <c r="D5" s="10">
        <f>Assumptions!B6</f>
        <v>0.04907125376211874</v>
      </c>
      <c r="E5" s="10">
        <f>Assumptions!B6</f>
        <v>0.04907125376211874</v>
      </c>
      <c r="F5" s="10">
        <f>Assumptions!B6</f>
        <v>0.04907125376211874</v>
      </c>
    </row>
    <row r="6" spans="1:6" x14ac:dyDescent="0.25">
      <c r="A6" t="s">
        <v>43</v>
      </c>
      <c r="B6" s="18">
        <f>Assumptions!B29*(1+B5)</f>
        <v>21529040269.7062</v>
      </c>
      <c r="C6" s="18">
        <f>B6*(1+C5)</f>
        <v>22585497268.035828</v>
      </c>
      <c r="D6" s="18">
        <f>C6*(1+D5)</f>
        <v>23693795935.819252</v>
      </c>
      <c r="E6" s="18">
        <f>D6*(1+E5)</f>
        <v>24856480208.773697</v>
      </c>
      <c r="F6" s="18">
        <f>E6*(1+F5)</f>
        <v>26076218856.731514</v>
      </c>
    </row>
    <row r="7" spans="1:6" x14ac:dyDescent="0.25">
      <c r="A7" t="s">
        <v>5</v>
      </c>
      <c r="B7" s="10">
        <f>Assumptions!B7</f>
        <v>0.12481498502766786</v>
      </c>
      <c r="C7" s="10">
        <f>Assumptions!B7</f>
        <v>0.12481498502766786</v>
      </c>
      <c r="D7" s="10">
        <f>Assumptions!B7</f>
        <v>0.12481498502766786</v>
      </c>
      <c r="E7" s="10">
        <f>Assumptions!B7</f>
        <v>0.12481498502766786</v>
      </c>
      <c r="F7" s="10">
        <f>Assumptions!B7</f>
        <v>0.12481498502766786</v>
      </c>
    </row>
    <row r="8" spans="1:6" x14ac:dyDescent="0.25">
      <c r="A8" t="s">
        <v>44</v>
      </c>
      <c r="B8" s="18">
        <f>B6*B7</f>
        <v>2687146838.9234376</v>
      </c>
      <c r="C8" s="18">
        <f>C6*C7</f>
        <v>2819008503.352325</v>
      </c>
      <c r="D8" s="18">
        <f>D6*D7</f>
        <v>2957340784.9778976</v>
      </c>
      <c r="E8" s="18">
        <f>E6*E7</f>
        <v>3102461205.0986114</v>
      </c>
      <c r="F8" s="18">
        <f>F6*F7</f>
        <v>3254702866.181134</v>
      </c>
    </row>
    <row r="9" spans="1:6" x14ac:dyDescent="0.25">
      <c r="A9" t="s">
        <v>45</v>
      </c>
      <c r="B9" s="18">
        <f>B8*(1-Assumptions!B8)</f>
        <v>2294580015.7680354</v>
      </c>
      <c r="C9" s="18">
        <f>C8*(1-Assumptions!B8)</f>
        <v>2407177933.999275</v>
      </c>
      <c r="D9" s="18">
        <f>D8*(1-Assumptions!B8)</f>
        <v>2525301173.2491264</v>
      </c>
      <c r="E9" s="18">
        <f>E8*(1-Assumptions!B8)</f>
        <v>2649220867.9474106</v>
      </c>
      <c r="F9" s="18">
        <f>F8*(1-Assumptions!B8)</f>
        <v>2779221457.4303584</v>
      </c>
    </row>
    <row r="10" spans="1:6" x14ac:dyDescent="0.25">
      <c r="A10" t="s">
        <v>46</v>
      </c>
      <c r="B10" s="18">
        <f>B6*Assumptions!B9</f>
        <v>2571130825.249482</v>
      </c>
      <c r="C10" s="18">
        <f>C6*Assumptions!B9</f>
        <v>2697299438.430906</v>
      </c>
      <c r="D10" s="18">
        <f>D6*Assumptions!B9</f>
        <v>2829659303.646569</v>
      </c>
      <c r="E10" s="18">
        <f>E6*Assumptions!B9</f>
        <v>2968514233.39615</v>
      </c>
      <c r="F10" s="18">
        <f>F6*Assumptions!B9</f>
        <v>3114182948.639594</v>
      </c>
    </row>
    <row r="11" spans="1:6" x14ac:dyDescent="0.25">
      <c r="A11" t="s">
        <v>47</v>
      </c>
      <c r="B11" s="18">
        <f>-B6*Assumptions!B10</f>
        <v>-2123873632.6221137</v>
      </c>
      <c r="C11" s="18">
        <f>-C6*Assumptions!B10</f>
        <v>-2228094774.607187</v>
      </c>
      <c r="D11" s="18">
        <f>-D6*Assumptions!B10</f>
        <v>-2337430178.6979866</v>
      </c>
      <c r="E11" s="18">
        <f>-E6*Assumptions!B10</f>
        <v>-2452130808.14811</v>
      </c>
      <c r="F11" s="18">
        <f>-F6*Assumptions!B10</f>
        <v>-2572459941.2926555</v>
      </c>
    </row>
    <row r="12" spans="1:6" x14ac:dyDescent="0.25">
      <c r="A12" t="s">
        <v>48</v>
      </c>
      <c r="B12" s="18">
        <f>-(B6-Assumptions!B29)*Assumptions!B11</f>
        <v>30181108.33354876</v>
      </c>
      <c r="C12" s="18">
        <f>-(C6-B6)*Assumptions!B11</f>
        <v>31662133.159406412</v>
      </c>
      <c r="D12" s="18">
        <f>-(D6-C6)*Assumptions!B11</f>
        <v>33215833.73032155</v>
      </c>
      <c r="E12" s="18">
        <f>-(E6-D6)*Assumptions!B11</f>
        <v>34845776.33622256</v>
      </c>
      <c r="F12" s="18">
        <f>-(F6-E6)*Assumptions!B11</f>
        <v>36555702.26935537</v>
      </c>
    </row>
    <row r="13" spans="1:6" x14ac:dyDescent="0.25">
      <c r="A13" s="19" t="s">
        <v>49</v>
      </c>
      <c r="B13" s="20">
        <f>B9+B10+B11+B12</f>
        <v>2772018316.728952</v>
      </c>
      <c r="C13" s="20">
        <f>C9+C10+C11+C12</f>
        <v>2908044730.982401</v>
      </c>
      <c r="D13" s="20">
        <f>D9+D10+D11+D12</f>
        <v>3050746131.9280295</v>
      </c>
      <c r="E13" s="20">
        <f>E9+E10+E11+E12</f>
        <v>3200450069.531674</v>
      </c>
      <c r="F13" s="20">
        <f>F9+F10+F11+F12</f>
        <v>3357500167.046652</v>
      </c>
    </row>
    <row r="14" spans="1:6" x14ac:dyDescent="0.25">
      <c r="A14" t="s">
        <v>50</v>
      </c>
      <c r="B14" s="21">
        <f>1/(1+Assumptions!$B$26)^(1-0.5*Assumptions!$B$32)</f>
        <v>0.9675642258608794</v>
      </c>
      <c r="C14" s="21">
        <f>1/(1+Assumptions!$B$26)^(2-0.5*Assumptions!$B$32)</f>
        <v>0.9058147909034281</v>
      </c>
      <c r="D14" s="21">
        <f>1/(1+Assumptions!$B$26)^(3-0.5*Assumptions!$B$32)</f>
        <v>0.8480061720857756</v>
      </c>
      <c r="E14" s="21">
        <f>1/(1+Assumptions!$B$26)^(4-0.5*Assumptions!$B$32)</f>
        <v>0.7938868686151067</v>
      </c>
      <c r="F14" s="21">
        <f>1/(1+Assumptions!$B$26)^(5-0.5*Assumptions!$B$32)</f>
        <v>0.7432214303456146</v>
      </c>
    </row>
    <row r="15" spans="1:6" x14ac:dyDescent="0.25">
      <c r="A15" s="19" t="s">
        <v>51</v>
      </c>
      <c r="B15" s="20">
        <f>B13*B14</f>
        <v>2682105756.6980267</v>
      </c>
      <c r="C15" s="20">
        <f>C13*C14</f>
        <v>2634149929.932639</v>
      </c>
      <c r="D15" s="20">
        <f>D13*D14</f>
        <v>2587051549.341775</v>
      </c>
      <c r="E15" s="20">
        <f>E13*E14</f>
        <v>2540795283.8595014</v>
      </c>
      <c r="F15" s="20">
        <f>F13*F14</f>
        <v>2495366076.5380526</v>
      </c>
    </row>
    <row r="17" spans="1:2" x14ac:dyDescent="0.25">
      <c r="A17" s="22" t="s">
        <v>52</v>
      </c>
      <c r="B17" s="23">
        <f>SUM(B15:F15)</f>
        <v>12939468596.369995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3357500167.046652</v>
      </c>
    </row>
    <row r="5" spans="1:2" x14ac:dyDescent="0.25">
      <c r="A5" t="s">
        <v>56</v>
      </c>
      <c r="B5" s="18">
        <f>IF(Assumptions!$B$33=0,B4,B4-Forecast!F11-Forecast!F10-Forecast!F12)</f>
        <v>2866509183.8480973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0.3193237503136533</v>
      </c>
    </row>
    <row r="7" spans="1:2" x14ac:dyDescent="0.25">
      <c r="A7" t="s">
        <v>58</v>
      </c>
      <c r="B7" s="18">
        <f>-MAX(Forecast!F9,0)*B6</f>
        <v>-915344462.8949039</v>
      </c>
    </row>
    <row r="8" spans="1:2" x14ac:dyDescent="0.25">
      <c r="A8" t="s">
        <v>59</v>
      </c>
      <c r="B8" s="18">
        <f>IF(OR(Assumptions!$B$33=0,Assumptions!B12&lt;=0),B5,MAX(B5+B7,0))</f>
        <v>1951164720.9531934</v>
      </c>
    </row>
    <row r="9" spans="1:2" x14ac:dyDescent="0.25">
      <c r="A9" t="s">
        <v>60</v>
      </c>
      <c r="B9" s="18">
        <f>B8*(1+Assumptions!B12)/(Assumptions!B26-Assumptions!B12)</f>
        <v>46327119744.64254</v>
      </c>
    </row>
    <row r="10" spans="1:2" x14ac:dyDescent="0.25">
      <c r="A10" t="s">
        <v>61</v>
      </c>
      <c r="B10" s="18">
        <f>B9/(1+Assumptions!B26)^(5-0.5*Assumptions!B32)</f>
        <v>34431308200.40579</v>
      </c>
    </row>
    <row r="11" spans="1:2" x14ac:dyDescent="0.25">
      <c r="A11" t="s">
        <v>62</v>
      </c>
      <c r="B11" s="18">
        <f>Forecast!B17+B10</f>
        <v>47370776796.77579</v>
      </c>
    </row>
    <row r="12" spans="1:2" x14ac:dyDescent="0.25">
      <c r="A12" t="s">
        <v>63</v>
      </c>
      <c r="B12" s="18">
        <f>-Assumptions!B30</f>
        <v>-2135200000</v>
      </c>
    </row>
    <row r="13" spans="1:2" x14ac:dyDescent="0.25">
      <c r="A13" t="s">
        <v>64</v>
      </c>
      <c r="B13" s="18">
        <f>B11+B12</f>
        <v>45235576796.77579</v>
      </c>
    </row>
    <row r="14" spans="1:2" x14ac:dyDescent="0.25">
      <c r="A14" s="19" t="s">
        <v>65</v>
      </c>
      <c r="B14" s="24">
        <f>B13/Assumptions!B31</f>
        <v>14.617112093830029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6368885814.820728</v>
      </c>
    </row>
    <row r="18" spans="1:2" x14ac:dyDescent="0.25">
      <c r="A18" t="s">
        <v>60</v>
      </c>
      <c r="B18" s="18">
        <f>B17*Assumptions!B13</f>
        <v>28847247074.453186</v>
      </c>
    </row>
    <row r="19" spans="1:2" x14ac:dyDescent="0.25">
      <c r="A19" t="s">
        <v>61</v>
      </c>
      <c r="B19" s="18">
        <f>B18/(1+Assumptions!B26)^(5-0.5*Assumptions!B32)</f>
        <v>21439892232.208443</v>
      </c>
    </row>
    <row r="20" spans="1:2" x14ac:dyDescent="0.25">
      <c r="A20" t="s">
        <v>62</v>
      </c>
      <c r="B20" s="18">
        <f>Forecast!B17+B19</f>
        <v>34379360828.57844</v>
      </c>
    </row>
    <row r="21" spans="1:2" x14ac:dyDescent="0.25">
      <c r="A21" t="s">
        <v>63</v>
      </c>
      <c r="B21" s="18">
        <f>-Assumptions!B30</f>
        <v>-2135200000</v>
      </c>
    </row>
    <row r="22" spans="1:2" x14ac:dyDescent="0.25">
      <c r="A22" t="s">
        <v>64</v>
      </c>
      <c r="B22" s="18">
        <f>B20+B21</f>
        <v>32244160828.578438</v>
      </c>
    </row>
    <row r="23" spans="1:2" x14ac:dyDescent="0.25">
      <c r="A23" s="19" t="s">
        <v>65</v>
      </c>
      <c r="B23" s="25">
        <f>B22/Assumptions!B31</f>
        <v>10.419155597821579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6.51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14.617112093830029</v>
      </c>
    </row>
    <row r="29" spans="1:2" x14ac:dyDescent="0.25">
      <c r="A29" s="19" t="s">
        <v>73</v>
      </c>
      <c r="B29" s="12">
        <f>B28/B26-1</f>
        <v>1.2453321188678999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0.04817</v>
      </c>
      <c r="B5" s="31">
        <v>22.233485205136056</v>
      </c>
      <c r="C5" s="31">
        <v>23.898741621123108</v>
      </c>
      <c r="D5" s="31">
        <v>26.262050492634426</v>
      </c>
      <c r="E5" s="31">
        <v>29.899679669580014</v>
      </c>
      <c r="F5" s="31">
        <v>36.26301902147496</v>
      </c>
    </row>
    <row r="6" spans="1:6" x14ac:dyDescent="0.25">
      <c r="A6" s="30">
        <v>0.05817</v>
      </c>
      <c r="B6" s="31">
        <v>17.24013107149323</v>
      </c>
      <c r="C6" s="31">
        <v>17.87863010076709</v>
      </c>
      <c r="D6" s="31">
        <v>18.69579431983313</v>
      </c>
      <c r="E6" s="31">
        <v>19.786759612499758</v>
      </c>
      <c r="F6" s="31">
        <v>21.32878174501682</v>
      </c>
    </row>
    <row r="7" spans="1:6" x14ac:dyDescent="0.25">
      <c r="A7" s="30">
        <v>0.06817</v>
      </c>
      <c r="B7" s="31">
        <v>14.115065608662297</v>
      </c>
      <c r="C7" s="31">
        <v>14.344602800261798</v>
      </c>
      <c r="D7" s="32">
        <v>14.61712619985037</v>
      </c>
      <c r="E7" s="31">
        <v>14.949528474963692</v>
      </c>
      <c r="F7" s="31">
        <v>15.368887802655445</v>
      </c>
    </row>
    <row r="8" spans="1:6" x14ac:dyDescent="0.25">
      <c r="A8" s="30">
        <v>0.07817</v>
      </c>
      <c r="B8" s="31">
        <v>11.971522314194106</v>
      </c>
      <c r="C8" s="31">
        <v>12.015172586271362</v>
      </c>
      <c r="D8" s="31">
        <v>12.059103091579663</v>
      </c>
      <c r="E8" s="31">
        <v>12.103401093944331</v>
      </c>
      <c r="F8" s="31">
        <v>12.148194285184804</v>
      </c>
    </row>
    <row r="9" spans="1:6" x14ac:dyDescent="0.25">
      <c r="A9" s="30">
        <v>0.08817</v>
      </c>
      <c r="B9" s="31">
        <v>10.596070928245478</v>
      </c>
      <c r="C9" s="31">
        <v>10.631983671240905</v>
      </c>
      <c r="D9" s="31">
        <v>10.66789641423633</v>
      </c>
      <c r="E9" s="31">
        <v>10.703809157231754</v>
      </c>
      <c r="F9" s="31">
        <v>10.739721900227178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20522000000</v>
      </c>
      <c r="C5" s="18">
        <v>19539800000</v>
      </c>
      <c r="D5" s="18">
        <v>19012700000</v>
      </c>
      <c r="E5" s="18">
        <v>17774800000</v>
      </c>
      <c r="F5" s="8" t="s">
        <v>84</v>
      </c>
    </row>
    <row r="6" spans="1:6" x14ac:dyDescent="0.25">
      <c r="A6" t="s">
        <v>44</v>
      </c>
      <c r="B6" s="18">
        <v>2462700000</v>
      </c>
      <c r="C6" s="18">
        <v>1724400000</v>
      </c>
      <c r="D6" s="18">
        <v>2726500000</v>
      </c>
      <c r="E6" s="18">
        <v>2623600000</v>
      </c>
      <c r="F6" s="8" t="s">
        <v>85</v>
      </c>
    </row>
    <row r="7" spans="1:6" x14ac:dyDescent="0.25">
      <c r="A7" t="s">
        <v>86</v>
      </c>
      <c r="B7" s="18">
        <v>2541400000</v>
      </c>
      <c r="C7" s="18">
        <v>2381000000</v>
      </c>
      <c r="D7" s="18">
        <v>2185800000</v>
      </c>
      <c r="E7" s="18">
        <v>2080500000</v>
      </c>
      <c r="F7" s="8" t="s">
        <v>87</v>
      </c>
    </row>
    <row r="8" spans="1:6" x14ac:dyDescent="0.25">
      <c r="A8" t="s">
        <v>88</v>
      </c>
      <c r="B8" s="18">
        <v>2748900000</v>
      </c>
      <c r="C8" s="18">
        <v>1873700000</v>
      </c>
      <c r="D8" s="18">
        <v>1327300000</v>
      </c>
      <c r="E8" s="18">
        <v>1687800000</v>
      </c>
      <c r="F8" s="8" t="s">
        <v>89</v>
      </c>
    </row>
    <row r="9" spans="1:6" x14ac:dyDescent="0.25">
      <c r="A9" t="s">
        <v>90</v>
      </c>
      <c r="B9" s="18">
        <v>97200000</v>
      </c>
      <c r="C9" s="18">
        <v>-348100000</v>
      </c>
      <c r="D9" s="18">
        <v>-37100000</v>
      </c>
      <c r="E9" s="18">
        <v>-4036600000</v>
      </c>
      <c r="F9" s="8" t="s">
        <v>91</v>
      </c>
    </row>
    <row r="10" spans="1:6" x14ac:dyDescent="0.25">
      <c r="A10" t="s">
        <v>92</v>
      </c>
      <c r="B10" s="18">
        <v>10644700000</v>
      </c>
      <c r="C10" s="18">
        <v>12914300000</v>
      </c>
      <c r="D10" s="18">
        <v>13448000000</v>
      </c>
      <c r="E10" s="18">
        <v>15339300000</v>
      </c>
      <c r="F10" s="8" t="s">
        <v>93</v>
      </c>
    </row>
    <row r="11" spans="1:6" x14ac:dyDescent="0.25">
      <c r="A11" t="s">
        <v>94</v>
      </c>
      <c r="B11" s="18">
        <v>8509500000</v>
      </c>
      <c r="C11" s="18">
        <v>8776800000</v>
      </c>
      <c r="D11" s="18">
        <v>11775700000</v>
      </c>
      <c r="E11" s="18">
        <v>16731500000</v>
      </c>
      <c r="F11" s="8" t="s">
        <v>95</v>
      </c>
    </row>
    <row r="12" spans="1:6" x14ac:dyDescent="0.25">
      <c r="A12" t="s">
        <v>32</v>
      </c>
      <c r="B12" s="34">
        <v>3094700000</v>
      </c>
      <c r="C12" s="34">
        <v>3286400000</v>
      </c>
      <c r="D12" s="34">
        <v>4394500000</v>
      </c>
      <c r="E12" s="34">
        <v>6212300000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2026-09-19T01:06:37Z</dcterms:modified>
</cp:coreProperties>
</file>