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<sst xmlns="http://schemas.openxmlformats.org/spreadsheetml/2006/main" count="113" uniqueCount="101">
  <si>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Carrefour SA (CA.PA)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</si>
  <si>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</si>
  <si>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</si>
  <si>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</si>
  <si>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</si>
  <si>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</si>
  <si>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</si>
  <si>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</si>
  <si>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</si>
  <si>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</si>
  <si>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</si>
  <si>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</si>
  <si>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</si>
  <si>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</si>
  <si>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</si>
  <si>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</si>
  <si>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</si>
  <si>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</si>
  <si>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</si>
  <si>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</si>
  <si>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</si>
  <si>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</si>
  <si>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14.8%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</si>
  <si>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</si>
  <si>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</si>
  <si>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</si>
  <si>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</si>
  <si>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</si>
  <si>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</si>
  <si>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</si>
  <si>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</si>
  <si>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</si>
  <si>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</si>
  <si>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</si>
  <si>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</si>
  <si>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</si>
  <si>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</si>
  <si>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</si>
  <si>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</si>
  <si>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</si>
  <si>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</si>
  <si>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</si>
  <si>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</si>
  <si>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</si>
  <si>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</si>
  <si>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</si>
  <si>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</si>
  <si>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</si>
  <si>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</si>
  <si>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</si>
  <si>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</si>
  <si>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</si>
  <si>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</si>
  <si>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</si>
  <si>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</si>
  <si>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</si>
  <si>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</si>
  <si>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</si>
  <si>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</si>
  <si>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</si>
  <si>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</si>
  <si>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</si>
  <si>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</si>
  <si>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</si>
  <si>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</si>
  <si>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</si>
  <si>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</si>
  <si>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</si>
  <si>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</si>
  <si>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</si>
  <si>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</si>
  <si>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</si>
  <si>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</si>
  <si>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</si>
  <si>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</si>
  <si>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</si>
  <si>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</si>
  <si>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</si>
  <si>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</si>
  <si>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</si>
  <si>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</si>
  <si>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</si>
  <si>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</si>
  <si>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</si>
  <si>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</si>
  <si>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</si>
  <si>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</si>
  <si>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</si>
  <si>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</si>
  <si>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</si>
  <si>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</si>
  <si>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</si>
  <si>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</si>
  <si>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</si>
  <si>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</si>
  <si>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</si>
  <si>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</si>
  <si>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</si>
  <si>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</si>
  <si>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Current EV/EBITDA of 2.4x sits outside a defensible 3-20x band, so the exit multiple is capped at 3.0x. A multiple that far out usually means EBITDA is the wrong denominator for this business.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</si>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</sst>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0.0037410420336196903</v>
      </c>
    </row>
    <row r="7" spans="1:2" x14ac:dyDescent="0.25">
      <c r="A7" t="s">
        <v>5</v>
      </c>
      <c r="B7" s="6">
        <v>0.026645341296589582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0.027193335454990288</v>
      </c>
    </row>
    <row r="10" spans="1:2" x14ac:dyDescent="0.25">
      <c r="A10" t="s">
        <v>8</v>
      </c>
      <c r="B10" s="6">
        <v>0.02121267400631618</v>
      </c>
    </row>
    <row r="11" spans="1:2" x14ac:dyDescent="0.25">
      <c r="A11" t="s">
        <v>9</v>
      </c>
      <c r="B11" s="6">
        <v>-0.42590559824368823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0.14351750982913314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0.73669</v>
      </c>
      <c r="C19" s="8" t="s">
        <v>19</v>
      </c>
    </row>
    <row r="20" spans="1:2" x14ac:dyDescent="0.25">
      <c r="A20" t="s">
        <v>20</v>
      </c>
      <c r="B20" s="10">
        <f>B17+B19*B18</f>
        <v>0.0762014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11629623296</v>
      </c>
    </row>
    <row r="23" spans="1:2" x14ac:dyDescent="0.25">
      <c r="A23" t="s">
        <v>24</v>
      </c>
      <c r="B23" s="11">
        <v>5259000000</v>
      </c>
    </row>
    <row r="24" spans="1:2" x14ac:dyDescent="0.25">
      <c r="A24" t="s">
        <v>25</v>
      </c>
      <c r="B24" s="10">
        <f>B22/(B22+B23)</f>
        <v>0.6886069451708612</v>
      </c>
    </row>
    <row r="25" spans="1:2" x14ac:dyDescent="0.25">
      <c r="A25" t="s">
        <v>26</v>
      </c>
      <c r="B25" s="10">
        <f>1-B24</f>
        <v>0.3113930548291388</v>
      </c>
    </row>
    <row r="26" spans="1:2" x14ac:dyDescent="0.25">
      <c r="A26" t="s">
        <v>27</v>
      </c>
      <c r="B26" s="12">
        <f>B24*B20+B25*B21*(1-B8)</f>
        <v>0.06448760289927036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84024000000</v>
      </c>
      <c r="C29" s="8" t="s">
        <v>30</v>
      </c>
    </row>
    <row r="30" spans="1:2" x14ac:dyDescent="0.25">
      <c r="A30" t="s">
        <v>31</v>
      </c>
      <c r="B30" s="11">
        <v>-1098000000</v>
      </c>
    </row>
    <row r="31" spans="1:2" x14ac:dyDescent="0.25">
      <c r="A31" t="s">
        <v>32</v>
      </c>
      <c r="B31" s="13">
        <v>685782388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0.0037410420336196903</v>
      </c>
      <c r="C5" s="10">
        <f>Assumptions!B6</f>
        <v>0.0037410420336196903</v>
      </c>
      <c r="D5" s="10">
        <f>Assumptions!B6</f>
        <v>0.0037410420336196903</v>
      </c>
      <c r="E5" s="10">
        <f>Assumptions!B6</f>
        <v>0.0037410420336196903</v>
      </c>
      <c r="F5" s="10">
        <f>Assumptions!B6</f>
        <v>0.0037410420336196903</v>
      </c>
    </row>
    <row r="6" spans="1:6" x14ac:dyDescent="0.25">
      <c r="A6" t="s">
        <v>43</v>
      </c>
      <c r="B6" s="18">
        <f>Assumptions!B29*(1+B5)</f>
        <v>84338337315.83286</v>
      </c>
      <c r="C6" s="18">
        <f>B6*(1+C5)</f>
        <v>84653850580.77698</v>
      </c>
      <c r="D6" s="18">
        <f>C6*(1+D5)</f>
        <v>84970544194.10742</v>
      </c>
      <c r="E6" s="18">
        <f>D6*(1+E5)</f>
        <v>85288422571.55711</v>
      </c>
      <c r="F6" s="18">
        <f>E6*(1+F5)</f>
        <v>85607490145.37843</v>
      </c>
    </row>
    <row r="7" spans="1:6" x14ac:dyDescent="0.25">
      <c r="A7" t="s">
        <v>5</v>
      </c>
      <c r="B7" s="10">
        <f>Assumptions!B7</f>
        <v>0.026645341296589582</v>
      </c>
      <c r="C7" s="10">
        <f>Assumptions!B7</f>
        <v>0.026645341296589582</v>
      </c>
      <c r="D7" s="10">
        <f>Assumptions!B7</f>
        <v>0.026645341296589582</v>
      </c>
      <c r="E7" s="10">
        <f>Assumptions!B7</f>
        <v>0.026645341296589582</v>
      </c>
      <c r="F7" s="10">
        <f>Assumptions!B7</f>
        <v>0.026645341296589582</v>
      </c>
    </row>
    <row r="8" spans="1:6" x14ac:dyDescent="0.25">
      <c r="A8" t="s">
        <v>44</v>
      </c>
      <c r="B8" s="18">
        <f>B6*B7</f>
        <v>2247223782.1672635</v>
      </c>
      <c r="C8" s="18">
        <f>C6*C7</f>
        <v>2255630740.795301</v>
      </c>
      <c r="D8" s="18">
        <f>D6*D7</f>
        <v>2264069150.2089405</v>
      </c>
      <c r="E8" s="18">
        <f>E6*E7</f>
        <v>2272539128.0668936</v>
      </c>
      <c r="F8" s="18">
        <f>F6*F7</f>
        <v>2281040792.4680376</v>
      </c>
    </row>
    <row r="9" spans="1:6" x14ac:dyDescent="0.25">
      <c r="A9" t="s">
        <v>45</v>
      </c>
      <c r="B9" s="18">
        <f>B8*(1-Assumptions!B8)</f>
        <v>1667440046.3681095</v>
      </c>
      <c r="C9" s="18">
        <f>C8*(1-Assumptions!B8)</f>
        <v>1673678009.6701133</v>
      </c>
      <c r="D9" s="18">
        <f>D8*(1-Assumptions!B8)</f>
        <v>1679939309.4550338</v>
      </c>
      <c r="E9" s="18">
        <f>E8*(1-Assumptions!B8)</f>
        <v>1686224033.025635</v>
      </c>
      <c r="F9" s="18">
        <f>F8*(1-Assumptions!B8)</f>
        <v>1692532268.0112839</v>
      </c>
    </row>
    <row r="10" spans="1:6" x14ac:dyDescent="0.25">
      <c r="A10" t="s">
        <v>46</v>
      </c>
      <c r="B10" s="18">
        <f>B6*Assumptions!B9</f>
        <v>2293440698.345568</v>
      </c>
      <c r="C10" s="18">
        <f>C6*Assumptions!B9</f>
        <v>2302020556.3996925</v>
      </c>
      <c r="D10" s="18">
        <f>D6*Assumptions!B9</f>
        <v>2310632512.0634403</v>
      </c>
      <c r="E10" s="18">
        <f>E6*Assumptions!B9</f>
        <v>2319276685.415318</v>
      </c>
      <c r="F10" s="18">
        <f>F6*Assumptions!B9</f>
        <v>2327953196.983051</v>
      </c>
    </row>
    <row r="11" spans="1:6" x14ac:dyDescent="0.25">
      <c r="A11" t="s">
        <v>47</v>
      </c>
      <c r="B11" s="18">
        <f>-B6*Assumptions!B10</f>
        <v>-1789041655.7154937</v>
      </c>
      <c r="C11" s="18">
        <f>-C6*Assumptions!B10</f>
        <v>-1795734535.7494218</v>
      </c>
      <c r="D11" s="18">
        <f>-D6*Assumptions!B10</f>
        <v>-1802452454.128883</v>
      </c>
      <c r="E11" s="18">
        <f>-E6*Assumptions!B10</f>
        <v>-1809195504.5233798</v>
      </c>
      <c r="F11" s="18">
        <f>-F6*Assumptions!B10</f>
        <v>-1815963780.9528377</v>
      </c>
    </row>
    <row r="12" spans="1:6" x14ac:dyDescent="0.25">
      <c r="A12" t="s">
        <v>48</v>
      </c>
      <c r="B12" s="18">
        <f>-(B6-Assumptions!B29)*Assumptions!B11</f>
        <v>133878022.55010737</v>
      </c>
      <c r="C12" s="18">
        <f>-(C6-B6)*Assumptions!B11</f>
        <v>134378865.85984573</v>
      </c>
      <c r="D12" s="18">
        <f>-(D6-C6)*Assumptions!B11</f>
        <v>134881582.84545818</v>
      </c>
      <c r="E12" s="18">
        <f>-(E6-D6)*Assumptions!B11</f>
        <v>135386180.5164439</v>
      </c>
      <c r="F12" s="18">
        <f>-(F6-E6)*Assumptions!B11</f>
        <v>135892665.90853128</v>
      </c>
    </row>
    <row r="13" spans="1:6" x14ac:dyDescent="0.25">
      <c r="A13" s="19" t="s">
        <v>49</v>
      </c>
      <c r="B13" s="20">
        <f>B9+B10+B11+B12</f>
        <v>2305717111.548291</v>
      </c>
      <c r="C13" s="20">
        <f>C9+C10+C11+C12</f>
        <v>2314342896.1802297</v>
      </c>
      <c r="D13" s="20">
        <f>D9+D10+D11+D12</f>
        <v>2323000950.2350492</v>
      </c>
      <c r="E13" s="20">
        <f>E9+E10+E11+E12</f>
        <v>2331691394.434017</v>
      </c>
      <c r="F13" s="20">
        <f>F9+F10+F11+F12</f>
        <v>2340414349.9500284</v>
      </c>
    </row>
    <row r="14" spans="1:6" x14ac:dyDescent="0.25">
      <c r="A14" t="s">
        <v>50</v>
      </c>
      <c r="B14" s="21">
        <f>1/(1+Assumptions!$B$26)^(1-0.5*Assumptions!$B$32)</f>
        <v>0.9692363557294029</v>
      </c>
      <c r="C14" s="21">
        <f>1/(1+Assumptions!$B$26)^(2-0.5*Assumptions!$B$32)</f>
        <v>0.910519157846049</v>
      </c>
      <c r="D14" s="21">
        <f>1/(1+Assumptions!$B$26)^(3-0.5*Assumptions!$B$32)</f>
        <v>0.8553590998769094</v>
      </c>
      <c r="E14" s="21">
        <f>1/(1+Assumptions!$B$26)^(4-0.5*Assumptions!$B$32)</f>
        <v>0.8035406871317505</v>
      </c>
      <c r="F14" s="21">
        <f>1/(1+Assumptions!$B$26)^(5-0.5*Assumptions!$B$32)</f>
        <v>0.7548614797797579</v>
      </c>
    </row>
    <row r="15" spans="1:6" x14ac:dyDescent="0.25">
      <c r="A15" s="19" t="s">
        <v>51</v>
      </c>
      <c r="B15" s="20">
        <f>B13*B14</f>
        <v>2234784850.539991</v>
      </c>
      <c r="C15" s="20">
        <f>C13*C14</f>
        <v>2107253544.7970088</v>
      </c>
      <c r="D15" s="20">
        <f>D13*D14</f>
        <v>1987000001.806257</v>
      </c>
      <c r="E15" s="20">
        <f>E13*E14</f>
        <v>1873608905.2626996</v>
      </c>
      <c r="F15" s="20">
        <f>F13*F14</f>
        <v>1766688639.5010586</v>
      </c>
    </row>
    <row r="17" spans="1:2" x14ac:dyDescent="0.25">
      <c r="A17" s="22" t="s">
        <v>52</v>
      </c>
      <c r="B17" s="23">
        <f>SUM(B15:F15)</f>
        <v>9969335941.907015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2340414349.9500284</v>
      </c>
    </row>
    <row r="5" spans="1:2" x14ac:dyDescent="0.25">
      <c r="A5" t="s">
        <v>56</v>
      </c>
      <c r="B5" s="18">
        <f>IF(Assumptions!$B$33=0,B4,B4-Forecast!F11-Forecast!F10-Forecast!F12)</f>
        <v>1889638774.258224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0.17419477267801062</v>
      </c>
    </row>
    <row r="7" spans="1:2" x14ac:dyDescent="0.25">
      <c r="A7" t="s">
        <v>58</v>
      </c>
      <c r="B7" s="18">
        <f>-MAX(Forecast!F9,0)*B6</f>
        <v>-329165196.72546595</v>
      </c>
    </row>
    <row r="8" spans="1:2" x14ac:dyDescent="0.25">
      <c r="A8" t="s">
        <v>59</v>
      </c>
      <c r="B8" s="18">
        <f>IF(OR(Assumptions!$B$33=0,Assumptions!B12&lt;=0),B5,MAX(B5+B7,0))</f>
        <v>1560473577.532758</v>
      </c>
    </row>
    <row r="9" spans="1:2" x14ac:dyDescent="0.25">
      <c r="A9" t="s">
        <v>60</v>
      </c>
      <c r="B9" s="18">
        <f>B8*(1+Assumptions!B12)/(Assumptions!B26-Assumptions!B12)</f>
        <v>40506014534.5169</v>
      </c>
    </row>
    <row r="10" spans="1:2" x14ac:dyDescent="0.25">
      <c r="A10" t="s">
        <v>61</v>
      </c>
      <c r="B10" s="18">
        <f>B9/(1+Assumptions!B26)^(5-0.5*Assumptions!B32)</f>
        <v>30576430071.50581</v>
      </c>
    </row>
    <row r="11" spans="1:2" x14ac:dyDescent="0.25">
      <c r="A11" t="s">
        <v>62</v>
      </c>
      <c r="B11" s="18">
        <f>Forecast!B17+B10</f>
        <v>40545766013.41283</v>
      </c>
    </row>
    <row r="12" spans="1:2" x14ac:dyDescent="0.25">
      <c r="A12" t="s">
        <v>63</v>
      </c>
      <c r="B12" s="18">
        <f>-Assumptions!B30</f>
        <v>1098000000</v>
      </c>
    </row>
    <row r="13" spans="1:2" x14ac:dyDescent="0.25">
      <c r="A13" t="s">
        <v>64</v>
      </c>
      <c r="B13" s="18">
        <f>B11+B12</f>
        <v>41643766013.41283</v>
      </c>
    </row>
    <row r="14" spans="1:2" x14ac:dyDescent="0.25">
      <c r="A14" s="19" t="s">
        <v>65</v>
      </c>
      <c r="B14" s="24">
        <f>B13/Assumptions!B31</f>
        <v>60.724461202425665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4608993989.451088</v>
      </c>
    </row>
    <row r="18" spans="1:2" x14ac:dyDescent="0.25">
      <c r="A18" t="s">
        <v>60</v>
      </c>
      <c r="B18" s="18">
        <f>B17*Assumptions!B13</f>
        <v>13826981968.353264</v>
      </c>
    </row>
    <row r="19" spans="1:2" x14ac:dyDescent="0.25">
      <c r="A19" t="s">
        <v>61</v>
      </c>
      <c r="B19" s="18">
        <f>B18/(1+Assumptions!B26)^(5-0.5*Assumptions!B32)</f>
        <v>10437456069.519175</v>
      </c>
    </row>
    <row r="20" spans="1:2" x14ac:dyDescent="0.25">
      <c r="A20" t="s">
        <v>62</v>
      </c>
      <c r="B20" s="18">
        <f>Forecast!B17+B19</f>
        <v>20406792011.42619</v>
      </c>
    </row>
    <row r="21" spans="1:2" x14ac:dyDescent="0.25">
      <c r="A21" t="s">
        <v>63</v>
      </c>
      <c r="B21" s="18">
        <f>-Assumptions!B30</f>
        <v>1098000000</v>
      </c>
    </row>
    <row r="22" spans="1:2" x14ac:dyDescent="0.25">
      <c r="A22" t="s">
        <v>64</v>
      </c>
      <c r="B22" s="18">
        <f>B20+B21</f>
        <v>21504792011.42619</v>
      </c>
    </row>
    <row r="23" spans="1:2" x14ac:dyDescent="0.25">
      <c r="A23" s="19" t="s">
        <v>65</v>
      </c>
      <c r="B23" s="25">
        <f>B22/Assumptions!B31</f>
        <v>31.358040666722676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16.435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60.724461202425665</v>
      </c>
    </row>
    <row r="29" spans="1:2" x14ac:dyDescent="0.25">
      <c r="A29" s="19" t="s">
        <v>73</v>
      </c>
      <c r="B29" s="12">
        <f>B28/B26-1</f>
        <v>2.6948257500715345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0.044488</v>
      </c>
      <c r="B5" s="31">
        <v>86.63979092596382</v>
      </c>
      <c r="C5" s="31">
        <v>98.02347533468956</v>
      </c>
      <c r="D5" s="31">
        <v>115.20804413805094</v>
      </c>
      <c r="E5" s="31">
        <v>144.19938261486735</v>
      </c>
      <c r="F5" s="31">
        <v>203.66333658109858</v>
      </c>
    </row>
    <row r="6" spans="1:6" x14ac:dyDescent="0.25">
      <c r="A6" s="30">
        <v>0.054488</v>
      </c>
      <c r="B6" s="31">
        <v>66.42340609142941</v>
      </c>
      <c r="C6" s="31">
        <v>71.71111363584933</v>
      </c>
      <c r="D6" s="31">
        <v>78.76635343734743</v>
      </c>
      <c r="E6" s="31">
        <v>88.67181840086383</v>
      </c>
      <c r="F6" s="31">
        <v>103.6213394700702</v>
      </c>
    </row>
    <row r="7" spans="1:6" x14ac:dyDescent="0.25">
      <c r="A7" s="30">
        <v>0.064488</v>
      </c>
      <c r="B7" s="31">
        <v>54.33993697300277</v>
      </c>
      <c r="C7" s="31">
        <v>57.18132751464029</v>
      </c>
      <c r="D7" s="32">
        <v>60.7239250659084</v>
      </c>
      <c r="E7" s="31">
        <v>65.27270831923519</v>
      </c>
      <c r="F7" s="31">
        <v>71.33950532436563</v>
      </c>
    </row>
    <row r="8" spans="1:6" x14ac:dyDescent="0.25">
      <c r="A8" s="30">
        <v>0.074488</v>
      </c>
      <c r="B8" s="31">
        <v>46.289692481279495</v>
      </c>
      <c r="C8" s="31">
        <v>47.94902277935991</v>
      </c>
      <c r="D8" s="31">
        <v>49.92961313746804</v>
      </c>
      <c r="E8" s="31">
        <v>52.33978267312809</v>
      </c>
      <c r="F8" s="31">
        <v>55.3427122935341</v>
      </c>
    </row>
    <row r="9" spans="1:6" x14ac:dyDescent="0.25">
      <c r="A9" s="30">
        <v>0.084488</v>
      </c>
      <c r="B9" s="31">
        <v>40.532822021242744</v>
      </c>
      <c r="C9" s="31">
        <v>41.55149543640858</v>
      </c>
      <c r="D9" s="31">
        <v>42.73020645493482</v>
      </c>
      <c r="E9" s="31">
        <v>44.11301182418614</v>
      </c>
      <c r="F9" s="31">
        <v>45.76177331390217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84024000000</v>
      </c>
      <c r="C5" s="18">
        <v>83453000000</v>
      </c>
      <c r="D5" s="18">
        <v>84910000000</v>
      </c>
      <c r="E5" s="18">
        <v>83088000000</v>
      </c>
      <c r="F5" s="8" t="s">
        <v>84</v>
      </c>
    </row>
    <row r="6" spans="1:6" x14ac:dyDescent="0.25">
      <c r="A6" t="s">
        <v>44</v>
      </c>
      <c r="B6" s="18">
        <v>2120000000</v>
      </c>
      <c r="C6" s="18">
        <v>2239000000</v>
      </c>
      <c r="D6" s="18">
        <v>2235000000</v>
      </c>
      <c r="E6" s="18">
        <v>2343000000</v>
      </c>
      <c r="F6" s="8" t="s">
        <v>85</v>
      </c>
    </row>
    <row r="7" spans="1:6" x14ac:dyDescent="0.25">
      <c r="A7" t="s">
        <v>86</v>
      </c>
      <c r="B7" s="18">
        <v>2349000000</v>
      </c>
      <c r="C7" s="18">
        <v>2242000000</v>
      </c>
      <c r="D7" s="18">
        <v>2296000000</v>
      </c>
      <c r="E7" s="18">
        <v>2236000000</v>
      </c>
      <c r="F7" s="8" t="s">
        <v>87</v>
      </c>
    </row>
    <row r="8" spans="1:6" x14ac:dyDescent="0.25">
      <c r="A8" t="s">
        <v>88</v>
      </c>
      <c r="B8" s="18">
        <v>1523000000</v>
      </c>
      <c r="C8" s="18">
        <v>1738000000</v>
      </c>
      <c r="D8" s="18">
        <v>1974000000</v>
      </c>
      <c r="E8" s="18">
        <v>1882000000</v>
      </c>
      <c r="F8" s="8" t="s">
        <v>89</v>
      </c>
    </row>
    <row r="9" spans="1:6" x14ac:dyDescent="0.25">
      <c r="A9" t="s">
        <v>90</v>
      </c>
      <c r="B9" s="18">
        <v>-475000000</v>
      </c>
      <c r="C9" s="18">
        <v>-785000000</v>
      </c>
      <c r="D9" s="18">
        <v>-776000000</v>
      </c>
      <c r="E9" s="18">
        <v>-243000000</v>
      </c>
      <c r="F9" s="8" t="s">
        <v>91</v>
      </c>
    </row>
    <row r="10" spans="1:6" x14ac:dyDescent="0.25">
      <c r="A10" t="s">
        <v>92</v>
      </c>
      <c r="B10" s="18">
        <v>5259000000</v>
      </c>
      <c r="C10" s="18">
        <v>5069000000</v>
      </c>
      <c r="D10" s="18">
        <v>4901000000</v>
      </c>
      <c r="E10" s="18">
        <v>14087000000</v>
      </c>
      <c r="F10" s="8" t="s">
        <v>93</v>
      </c>
    </row>
    <row r="11" spans="1:6" x14ac:dyDescent="0.25">
      <c r="A11" t="s">
        <v>94</v>
      </c>
      <c r="B11" s="18">
        <v>6357000000</v>
      </c>
      <c r="C11" s="18">
        <v>6886000000</v>
      </c>
      <c r="D11" s="18">
        <v>6813000000</v>
      </c>
      <c r="E11" s="18">
        <v>5619000000</v>
      </c>
      <c r="F11" s="8" t="s">
        <v>95</v>
      </c>
    </row>
    <row r="12" spans="1:6" x14ac:dyDescent="0.25">
      <c r="A12" t="s">
        <v>32</v>
      </c>
      <c r="B12" s="34">
        <v>685782388</v>
      </c>
      <c r="C12" s="34">
        <v>673497922</v>
      </c>
      <c r="D12" s="34">
        <v>719225670</v>
      </c>
      <c r="E12" s="34">
        <v>746622699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2026-09-19T00:08:11Z</dcterms:modified>
</cp:coreProperties>
</file>