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<sst xmlns="http://schemas.openxmlformats.org/spreadsheetml/2006/main" count="112" uniqueCount="100">
  <si>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CaixaBank, S.A. (CABK.MC)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</si>
  <si>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</si>
  <si>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</si>
  <si>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</si>
  <si>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</si>
  <si>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</si>
  <si>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</si>
  <si>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</si>
  <si>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</si>
  <si>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</si>
  <si>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</si>
  <si>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</si>
  <si>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</si>
  <si>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</si>
  <si>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</si>
  <si>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</si>
  <si>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</si>
  <si>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</si>
  <si>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</si>
  <si>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</si>
  <si>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</si>
  <si>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</si>
  <si>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18.7%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</si>
  <si>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</si>
  <si>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</si>
  <si>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</si>
  <si>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</si>
  <si>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</si>
  <si>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</si>
  <si>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</si>
  <si>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2024-12-31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</si>
  <si>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</si>
  <si>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</si>
  <si>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</si>
  <si>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</si>
  <si>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</si>
  <si>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</si>
  <si>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</si>
  <si>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</si>
  <si>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</si>
  <si>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</si>
  <si>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</si>
  <si>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</si>
  <si>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</si>
  <si>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</si>
  <si>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</si>
  <si>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</si>
  <si>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</si>
  <si>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</si>
  <si>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</si>
  <si>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</si>
  <si>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</si>
  <si>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</si>
  <si>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</si>
  <si>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</si>
  <si>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</si>
  <si>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</si>
  <si>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</si>
  <si>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</si>
  <si>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</si>
  <si>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</si>
  <si>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</si>
  <si>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</si>
  <si>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</si>
  <si>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</si>
  <si>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</si>
  <si>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</si>
  <si>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</si>
  <si>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</si>
  <si>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</si>
  <si>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</si>
  <si>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</si>
  <si>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</si>
  <si>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</si>
  <si>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</si>
  <si>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</si>
  <si>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</si>
  <si>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</si>
  <si>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</si>
  <si>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2024-12-31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</si>
  <si>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</si>
  <si>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</si>
  <si>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</si>
  <si>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</si>
  <si>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</si>
  <si>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</si>
  <si>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</si>
  <si>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</si>
  <si>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</si>
  <si>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</si>
  <si>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</si>
  <si>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</si>
  <si>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</si>
  <si>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</si>
  <si>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</si>
  <si>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</si>
  <si>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</si>
  <si>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Only 2 year(s) of history available to anchor assumptions 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</si>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</sst>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0.3627301230002411</v>
      </c>
    </row>
    <row r="7" spans="1:2" x14ac:dyDescent="0.25">
      <c r="A7" t="s">
        <v>5</v>
      </c>
      <c r="B7" s="6">
        <v>0.4190311524795305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0.05229169340422913</v>
      </c>
    </row>
    <row r="10" spans="1:2" x14ac:dyDescent="0.25">
      <c r="A10" t="s">
        <v>8</v>
      </c>
      <c r="B10" s="6">
        <v>0.059089752600679044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10.430510144443224</v>
      </c>
    </row>
    <row r="14" spans="1:3" x14ac:dyDescent="0.25">
      <c r="A14" t="s">
        <v>12</v>
      </c>
      <c r="B14" s="6">
        <v>0.060172436069903315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0.40637999999999996</v>
      </c>
      <c r="C19" s="8" t="s">
        <v>19</v>
      </c>
    </row>
    <row r="20" spans="1:2" x14ac:dyDescent="0.25">
      <c r="A20" t="s">
        <v>20</v>
      </c>
      <c r="B20" s="10">
        <f>B17+B19*B18</f>
        <v>0.0684147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90271350784</v>
      </c>
    </row>
    <row r="23" spans="1:2" x14ac:dyDescent="0.25">
      <c r="A23" t="s">
        <v>24</v>
      </c>
      <c r="B23" s="11">
        <v>54419000000</v>
      </c>
    </row>
    <row r="24" spans="1:2" x14ac:dyDescent="0.25">
      <c r="A24" t="s">
        <v>25</v>
      </c>
      <c r="B24" s="10">
        <f>B22/(B22+B23)</f>
        <v>0.6238933715680942</v>
      </c>
    </row>
    <row r="25" spans="1:2" x14ac:dyDescent="0.25">
      <c r="A25" t="s">
        <v>26</v>
      </c>
      <c r="B25" s="10">
        <f>1-B24</f>
        <v>0.3761066284319058</v>
      </c>
    </row>
    <row r="26" spans="1:2" x14ac:dyDescent="0.25">
      <c r="A26" t="s">
        <v>27</v>
      </c>
      <c r="B26" s="12">
        <f>B24*B20+B25*B21*(1-B8)</f>
        <v>0.060172436069903315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16951000000</v>
      </c>
      <c r="C29" s="8" t="s">
        <v>30</v>
      </c>
    </row>
    <row r="30" spans="1:2" x14ac:dyDescent="0.25">
      <c r="A30" t="s">
        <v>31</v>
      </c>
      <c r="B30" s="11">
        <v>4615000000</v>
      </c>
    </row>
    <row r="31" spans="1:2" x14ac:dyDescent="0.25">
      <c r="A31" t="s">
        <v>32</v>
      </c>
      <c r="B31" s="13">
        <v>7262000000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0.3627301230002411</v>
      </c>
      <c r="C5" s="10">
        <f>Assumptions!B6</f>
        <v>0.3627301230002411</v>
      </c>
      <c r="D5" s="10">
        <f>Assumptions!B6</f>
        <v>0.3627301230002411</v>
      </c>
      <c r="E5" s="10">
        <f>Assumptions!B6</f>
        <v>0.3627301230002411</v>
      </c>
      <c r="F5" s="10">
        <f>Assumptions!B6</f>
        <v>0.3627301230002411</v>
      </c>
    </row>
    <row r="6" spans="1:6" x14ac:dyDescent="0.25">
      <c r="A6" t="s">
        <v>43</v>
      </c>
      <c r="B6" s="18">
        <f>Assumptions!B29*(1+B5)</f>
        <v>23099638314.977085</v>
      </c>
      <c r="C6" s="18">
        <f>B6*(1+C5)</f>
        <v>31478572962.229805</v>
      </c>
      <c r="D6" s="18">
        <f>C6*(1+D5)</f>
        <v>42896799604.69148</v>
      </c>
      <c r="E6" s="18">
        <f>D6*(1+E5)</f>
        <v>58456761001.61792</v>
      </c>
      <c r="F6" s="18">
        <f>E6*(1+F5)</f>
        <v>79660789109.93048</v>
      </c>
    </row>
    <row r="7" spans="1:6" x14ac:dyDescent="0.25">
      <c r="A7" t="s">
        <v>5</v>
      </c>
      <c r="B7" s="10">
        <f>Assumptions!B7</f>
        <v>0.4190311524795305</v>
      </c>
      <c r="C7" s="10">
        <f>Assumptions!B7</f>
        <v>0.4190311524795305</v>
      </c>
      <c r="D7" s="10">
        <f>Assumptions!B7</f>
        <v>0.4190311524795305</v>
      </c>
      <c r="E7" s="10">
        <f>Assumptions!B7</f>
        <v>0.4190311524795305</v>
      </c>
      <c r="F7" s="10">
        <f>Assumptions!B7</f>
        <v>0.4190311524795305</v>
      </c>
    </row>
    <row r="8" spans="1:6" x14ac:dyDescent="0.25">
      <c r="A8" t="s">
        <v>44</v>
      </c>
      <c r="B8" s="18">
        <f>B6*B7</f>
        <v>9679468064.985168</v>
      </c>
      <c r="C8" s="18">
        <f>C6*C7</f>
        <v>13190502706.774143</v>
      </c>
      <c r="D8" s="18">
        <f>D6*D7</f>
        <v>17975095376.03734</v>
      </c>
      <c r="E8" s="18">
        <f>E6*E7</f>
        <v>24495203932.72843</v>
      </c>
      <c r="F8" s="18">
        <f>F6*F7</f>
        <v>33380352268.163002</v>
      </c>
    </row>
    <row r="9" spans="1:6" x14ac:dyDescent="0.25">
      <c r="A9" t="s">
        <v>45</v>
      </c>
      <c r="B9" s="18">
        <f>B8*(1-Assumptions!B8)</f>
        <v>7259601048.738876</v>
      </c>
      <c r="C9" s="18">
        <f>C8*(1-Assumptions!B8)</f>
        <v>9892877030.080608</v>
      </c>
      <c r="D9" s="18">
        <f>D8*(1-Assumptions!B8)</f>
        <v>13481321532.028004</v>
      </c>
      <c r="E9" s="18">
        <f>E8*(1-Assumptions!B8)</f>
        <v>18371402949.546326</v>
      </c>
      <c r="F9" s="18">
        <f>F8*(1-Assumptions!B8)</f>
        <v>25035264201.122253</v>
      </c>
    </row>
    <row r="10" spans="1:6" x14ac:dyDescent="0.25">
      <c r="A10" t="s">
        <v>46</v>
      </c>
      <c r="B10" s="18">
        <f>B6*Assumptions!B9</f>
        <v>1207919204.5153658</v>
      </c>
      <c r="C10" s="18">
        <f>C6*Assumptions!B9</f>
        <v>1646067886.1435778</v>
      </c>
      <c r="D10" s="18">
        <f>D6*Assumptions!B9</f>
        <v>2243146292.9511843</v>
      </c>
      <c r="E10" s="18">
        <f>E6*Assumptions!B9</f>
        <v>3056803023.7009025</v>
      </c>
      <c r="F10" s="18">
        <f>F6*Assumptions!B9</f>
        <v>4165597560.4754395</v>
      </c>
    </row>
    <row r="11" spans="1:6" x14ac:dyDescent="0.25">
      <c r="A11" t="s">
        <v>47</v>
      </c>
      <c r="B11" s="18">
        <f>-B6*Assumptions!B10</f>
        <v>-1364951913.1971624</v>
      </c>
      <c r="C11" s="18">
        <f>-C6*Assumptions!B10</f>
        <v>-1860061088.5605836</v>
      </c>
      <c r="D11" s="18">
        <f>-D6*Assumptions!B10</f>
        <v>-2534761276.002126</v>
      </c>
      <c r="E11" s="18">
        <f>-E6*Assumptions!B10</f>
        <v>-3454195545.4226255</v>
      </c>
      <c r="F11" s="18">
        <f>-F6*Assumptions!B10</f>
        <v>-4707136320.4806595</v>
      </c>
    </row>
    <row r="12" spans="1:6" x14ac:dyDescent="0.25">
      <c r="A12" t="s">
        <v>48</v>
      </c>
      <c r="B12" s="18">
        <f>-(B6-Assumptions!B29)*Assumptions!B11</f>
        <v>6148638314.977085</v>
      </c>
      <c r="C12" s="18">
        <f>-(C6-B6)*Assumptions!B11</f>
        <v>8378934647.25272</v>
      </c>
      <c r="D12" s="18">
        <f>-(D6-C6)*Assumptions!B11</f>
        <v>11418226642.461678</v>
      </c>
      <c r="E12" s="18">
        <f>-(E6-D6)*Assumptions!B11</f>
        <v>15559961396.926437</v>
      </c>
      <c r="F12" s="18">
        <f>-(F6-E6)*Assumptions!B11</f>
        <v>21204028108.31256</v>
      </c>
    </row>
    <row r="13" spans="1:6" x14ac:dyDescent="0.25">
      <c r="A13" s="19" t="s">
        <v>49</v>
      </c>
      <c r="B13" s="20">
        <f>B9+B10+B11+B12</f>
        <v>13251206655.034164</v>
      </c>
      <c r="C13" s="20">
        <f>C9+C10+C11+C12</f>
        <v>18057818474.91632</v>
      </c>
      <c r="D13" s="20">
        <f>D9+D10+D11+D12</f>
        <v>24607933191.438736</v>
      </c>
      <c r="E13" s="20">
        <f>E9+E10+E11+E12</f>
        <v>33533971824.751038</v>
      </c>
      <c r="F13" s="20">
        <f>F9+F10+F11+F12</f>
        <v>45697753549.429596</v>
      </c>
    </row>
    <row r="14" spans="1:6" x14ac:dyDescent="0.25">
      <c r="A14" t="s">
        <v>50</v>
      </c>
      <c r="B14" s="21">
        <f>1/(1+Assumptions!$B$26)^(1-0.5*Assumptions!$B$32)</f>
        <v>0.971206869769822</v>
      </c>
      <c r="C14" s="21">
        <f>1/(1+Assumptions!$B$26)^(2-0.5*Assumptions!$B$32)</f>
        <v>0.9160838715729303</v>
      </c>
      <c r="D14" s="21">
        <f>1/(1+Assumptions!$B$26)^(3-0.5*Assumptions!$B$32)</f>
        <v>0.8640895012974356</v>
      </c>
      <c r="E14" s="21">
        <f>1/(1+Assumptions!$B$26)^(4-0.5*Assumptions!$B$32)</f>
        <v>0.8150461867322695</v>
      </c>
      <c r="F14" s="21">
        <f>1/(1+Assumptions!$B$26)^(5-0.5*Assumptions!$B$32)</f>
        <v>0.7687864341707226</v>
      </c>
    </row>
    <row r="15" spans="1:6" x14ac:dyDescent="0.25">
      <c r="A15" s="19" t="s">
        <v>51</v>
      </c>
      <c r="B15" s="20">
        <f>B13*B14</f>
        <v>12869662936.108765</v>
      </c>
      <c r="C15" s="20">
        <f>C13*C14</f>
        <v>16542476260.66253</v>
      </c>
      <c r="D15" s="20">
        <f>D13*D14</f>
        <v>21263456719.35091</v>
      </c>
      <c r="E15" s="20">
        <f>E13*E14</f>
        <v>27331735861.750698</v>
      </c>
      <c r="F15" s="20">
        <f>F13*F14</f>
        <v>35131813000.878456</v>
      </c>
    </row>
    <row r="17" spans="1:2" x14ac:dyDescent="0.25">
      <c r="A17" s="22" t="s">
        <v>52</v>
      </c>
      <c r="B17" s="23">
        <f>SUM(B15:F15)</f>
        <v>113139144778.75137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45697753549.429596</v>
      </c>
    </row>
    <row r="5" spans="1:2" x14ac:dyDescent="0.25">
      <c r="A5" t="s">
        <v>56</v>
      </c>
      <c r="B5" s="18">
        <f>IF(Assumptions!$B$33=0,B4,B4-Forecast!F11-Forecast!F10-Forecast!F12)</f>
        <v>25035264201.122253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0.41547262555494824</v>
      </c>
    </row>
    <row r="7" spans="1:2" x14ac:dyDescent="0.25">
      <c r="A7" t="s">
        <v>58</v>
      </c>
      <c r="B7" s="18">
        <f>-MAX(Forecast!F9,0)*B6</f>
        <v>-10401466949.102066</v>
      </c>
    </row>
    <row r="8" spans="1:2" x14ac:dyDescent="0.25">
      <c r="A8" t="s">
        <v>59</v>
      </c>
      <c r="B8" s="18">
        <f>IF(OR(Assumptions!$B$33=0,Assumptions!B12&lt;=0),B5,MAX(B5+B7,0))</f>
        <v>14633797252.020187</v>
      </c>
    </row>
    <row r="9" spans="1:2" x14ac:dyDescent="0.25">
      <c r="A9" t="s">
        <v>60</v>
      </c>
      <c r="B9" s="18">
        <f>B8*(1+Assumptions!B12)/(Assumptions!B26-Assumptions!B12)</f>
        <v>426460144913.18463</v>
      </c>
    </row>
    <row r="10" spans="1:2" x14ac:dyDescent="0.25">
      <c r="A10" t="s">
        <v>61</v>
      </c>
      <c r="B10" s="18">
        <f>B9/(1+Assumptions!B26)^(5-0.5*Assumptions!B32)</f>
        <v>327856774123.7368</v>
      </c>
    </row>
    <row r="11" spans="1:2" x14ac:dyDescent="0.25">
      <c r="A11" t="s">
        <v>62</v>
      </c>
      <c r="B11" s="18">
        <f>Forecast!B17+B10</f>
        <v>440995918902.48816</v>
      </c>
    </row>
    <row r="12" spans="1:2" x14ac:dyDescent="0.25">
      <c r="A12" t="s">
        <v>63</v>
      </c>
      <c r="B12" s="18">
        <f>-Assumptions!B30</f>
        <v>-4615000000</v>
      </c>
    </row>
    <row r="13" spans="1:2" x14ac:dyDescent="0.25">
      <c r="A13" t="s">
        <v>64</v>
      </c>
      <c r="B13" s="18">
        <f>B11+B12</f>
        <v>436380918902.48816</v>
      </c>
    </row>
    <row r="14" spans="1:2" x14ac:dyDescent="0.25">
      <c r="A14" s="19" t="s">
        <v>65</v>
      </c>
      <c r="B14" s="24">
        <f>B13/Assumptions!B31</f>
        <v>60.09101058971195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37545949828.63844</v>
      </c>
    </row>
    <row r="18" spans="1:2" x14ac:dyDescent="0.25">
      <c r="A18" t="s">
        <v>60</v>
      </c>
      <c r="B18" s="18">
        <f>B17*Assumptions!B13</f>
        <v>391623410570.36957</v>
      </c>
    </row>
    <row r="19" spans="1:2" x14ac:dyDescent="0.25">
      <c r="A19" t="s">
        <v>61</v>
      </c>
      <c r="B19" s="18">
        <f>B18/(1+Assumptions!B26)^(5-0.5*Assumptions!B32)</f>
        <v>301074765350.17126</v>
      </c>
    </row>
    <row r="20" spans="1:2" x14ac:dyDescent="0.25">
      <c r="A20" t="s">
        <v>62</v>
      </c>
      <c r="B20" s="18">
        <f>Forecast!B17+B19</f>
        <v>414213910128.9226</v>
      </c>
    </row>
    <row r="21" spans="1:2" x14ac:dyDescent="0.25">
      <c r="A21" t="s">
        <v>63</v>
      </c>
      <c r="B21" s="18">
        <f>-Assumptions!B30</f>
        <v>-4615000000</v>
      </c>
    </row>
    <row r="22" spans="1:2" x14ac:dyDescent="0.25">
      <c r="A22" t="s">
        <v>64</v>
      </c>
      <c r="B22" s="18">
        <f>B20+B21</f>
        <v>409598910128.9226</v>
      </c>
    </row>
    <row r="23" spans="1:2" x14ac:dyDescent="0.25">
      <c r="A23" s="19" t="s">
        <v>65</v>
      </c>
      <c r="B23" s="25">
        <f>B22/Assumptions!B31</f>
        <v>56.403044633561365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12.995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60.09101058971195</v>
      </c>
    </row>
    <row r="29" spans="1:2" x14ac:dyDescent="0.25">
      <c r="A29" s="19" t="s">
        <v>73</v>
      </c>
      <c r="B29" s="12">
        <f>B28/B26-1</f>
        <v>3.6241639545757565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0.040172</v>
      </c>
      <c r="B5" s="31">
        <v>100.25179609481603</v>
      </c>
      <c r="C5" s="31">
        <v>108.2943095082364</v>
      </c>
      <c r="D5" s="31">
        <v>121.46312952481252</v>
      </c>
      <c r="E5" s="31">
        <v>147.31769372292973</v>
      </c>
      <c r="F5" s="31">
        <v>222.64960355717378</v>
      </c>
    </row>
    <row r="6" spans="1:6" x14ac:dyDescent="0.25">
      <c r="A6" s="30">
        <v>0.050172</v>
      </c>
      <c r="B6" s="31">
        <v>73.24406903354742</v>
      </c>
      <c r="C6" s="31">
        <v>74.58588911585468</v>
      </c>
      <c r="D6" s="31">
        <v>76.35997583927936</v>
      </c>
      <c r="E6" s="31">
        <v>78.88776483820385</v>
      </c>
      <c r="F6" s="31">
        <v>82.91441391202812</v>
      </c>
    </row>
    <row r="7" spans="1:6" x14ac:dyDescent="0.25">
      <c r="A7" s="30">
        <v>0.060172</v>
      </c>
      <c r="B7" s="31">
        <v>59.65097894030121</v>
      </c>
      <c r="C7" s="31">
        <v>59.87120971524624</v>
      </c>
      <c r="D7" s="32">
        <v>60.09144049019124</v>
      </c>
      <c r="E7" s="31">
        <v>60.31167126513626</v>
      </c>
      <c r="F7" s="31">
        <v>60.531902040081285</v>
      </c>
    </row>
    <row r="8" spans="1:6" x14ac:dyDescent="0.25">
      <c r="A8" s="30">
        <v>0.070172</v>
      </c>
      <c r="B8" s="31">
        <v>51.26424187530514</v>
      </c>
      <c r="C8" s="31">
        <v>51.44527621256094</v>
      </c>
      <c r="D8" s="31">
        <v>51.62631054981671</v>
      </c>
      <c r="E8" s="31">
        <v>51.80734488707249</v>
      </c>
      <c r="F8" s="31">
        <v>51.98837922432826</v>
      </c>
    </row>
    <row r="9" spans="1:6" x14ac:dyDescent="0.25">
      <c r="A9" s="30">
        <v>0.080172</v>
      </c>
      <c r="B9" s="31">
        <v>44.95006637697705</v>
      </c>
      <c r="C9" s="31">
        <v>45.10202491325256</v>
      </c>
      <c r="D9" s="31">
        <v>45.25398344952808</v>
      </c>
      <c r="E9" s="31">
        <v>45.4059419858036</v>
      </c>
      <c r="F9" s="31">
        <v>45.55790052207911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3" width="17" customWidth="1"/>
    <col min="4" max="4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4" x14ac:dyDescent="0.25">
      <c r="A4" s="16" t="s">
        <v>78</v>
      </c>
      <c r="B4" s="17" t="s">
        <v>79</v>
      </c>
      <c r="C4" s="17" t="s">
        <v>80</v>
      </c>
      <c r="D4" s="33" t="s">
        <v>81</v>
      </c>
    </row>
    <row r="5" spans="1:4" x14ac:dyDescent="0.25">
      <c r="A5" t="s">
        <v>43</v>
      </c>
      <c r="B5" s="18">
        <v>16951000000</v>
      </c>
      <c r="C5" s="18">
        <v>12439000000</v>
      </c>
      <c r="D5" s="8" t="s">
        <v>82</v>
      </c>
    </row>
    <row r="6" spans="1:4" x14ac:dyDescent="0.25">
      <c r="A6" t="s">
        <v>44</v>
      </c>
      <c r="B6" s="18">
        <v>8319000000</v>
      </c>
      <c r="C6" s="18">
        <v>4320000000</v>
      </c>
      <c r="D6" s="8" t="s">
        <v>83</v>
      </c>
    </row>
    <row r="7" spans="1:4" x14ac:dyDescent="0.25">
      <c r="A7" t="s">
        <v>84</v>
      </c>
      <c r="B7" s="18">
        <v>778000000</v>
      </c>
      <c r="C7" s="18">
        <v>730000000</v>
      </c>
      <c r="D7" s="8" t="s">
        <v>85</v>
      </c>
    </row>
    <row r="8" spans="1:4" x14ac:dyDescent="0.25">
      <c r="A8" t="s">
        <v>86</v>
      </c>
      <c r="B8" s="18">
        <v>755000000</v>
      </c>
      <c r="C8" s="18">
        <v>916000000</v>
      </c>
      <c r="D8" s="8" t="s">
        <v>87</v>
      </c>
    </row>
    <row r="9" spans="1:4" x14ac:dyDescent="0.25">
      <c r="A9" t="s">
        <v>88</v>
      </c>
      <c r="B9" s="18">
        <v>-9734000000</v>
      </c>
      <c r="C9" s="18">
        <v>83432000000</v>
      </c>
      <c r="D9" s="8" t="s">
        <v>89</v>
      </c>
    </row>
    <row r="10" spans="1:4" x14ac:dyDescent="0.25">
      <c r="A10" t="s">
        <v>90</v>
      </c>
      <c r="B10" s="18">
        <v>54419000000</v>
      </c>
      <c r="C10" s="18">
        <v>50090000000</v>
      </c>
      <c r="D10" s="8" t="s">
        <v>91</v>
      </c>
    </row>
    <row r="11" spans="1:4" x14ac:dyDescent="0.25">
      <c r="A11" t="s">
        <v>92</v>
      </c>
      <c r="B11" s="18">
        <v>49804000000</v>
      </c>
      <c r="C11" s="18">
        <v>20522000000</v>
      </c>
      <c r="D11" s="8" t="s">
        <v>93</v>
      </c>
    </row>
    <row r="12" spans="1:4" x14ac:dyDescent="0.25">
      <c r="A12" t="s">
        <v>32</v>
      </c>
      <c r="B12" s="34">
        <v>7262000000</v>
      </c>
      <c r="C12" s="34">
        <v>7819000000</v>
      </c>
      <c r="D12" s="8" t="s">
        <v>94</v>
      </c>
    </row>
    <row r="15" spans="1:1" x14ac:dyDescent="0.25">
      <c r="A15" s="19" t="s">
        <v>95</v>
      </c>
    </row>
    <row r="16" ht="54" customHeight="1" spans="1:4" x14ac:dyDescent="0.25">
      <c r="A16" s="35" t="s">
        <v>96</v>
      </c>
      <c r="B16" s="35"/>
      <c r="C16" s="35"/>
      <c r="D16" s="35"/>
    </row>
    <row r="17" ht="22" customHeight="1" spans="1:4" x14ac:dyDescent="0.25">
      <c r="A17" s="35" t="s">
        <v>97</v>
      </c>
      <c r="B17" s="35"/>
      <c r="C17" s="35"/>
      <c r="D17" s="35"/>
    </row>
    <row r="18" ht="22" customHeight="1" spans="1:4" x14ac:dyDescent="0.25">
      <c r="A18" s="35" t="s">
        <v>98</v>
      </c>
      <c r="B18" s="35"/>
      <c r="C18" s="35"/>
      <c r="D18" s="35"/>
    </row>
    <row r="20" spans="1:1" x14ac:dyDescent="0.25">
      <c r="A20" s="36" t="s">
        <v>99</v>
      </c>
    </row>
  </sheetData>
  <mergeCells count="3">
    <mergeCell ref="A16:D16"/>
    <mergeCell ref="A17:D17"/>
    <mergeCell ref="A18:D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2026-09-19T00:07:19Z</dcterms:modified>
</cp:coreProperties>
</file>