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<sst xmlns="http://schemas.openxmlformats.org/spreadsheetml/2006/main" count="112" uniqueCount="100">
  <si>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CAE Inc. (CAE.TO)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</si>
  <si>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</si>
  <si>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</si>
  <si>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</si>
  <si>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</si>
  <si>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</si>
  <si>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</si>
  <si>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</si>
  <si>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</si>
  <si>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</si>
  <si>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</si>
  <si>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</si>
  <si>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</si>
  <si>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</si>
  <si>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</si>
  <si>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</si>
  <si>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</si>
  <si>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</si>
  <si>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</si>
  <si>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</si>
  <si>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</si>
  <si>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</si>
  <si>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</si>
  <si>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</si>
  <si>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</si>
  <si>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</si>
  <si>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</si>
  <si>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</si>
  <si>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</si>
  <si>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</si>
  <si>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2026-03-31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</si>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</sst>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0.0700611603145096</v>
      </c>
    </row>
    <row r="7" spans="1:2" x14ac:dyDescent="0.25">
      <c r="A7" t="s">
        <v>5</v>
      </c>
      <c r="B7" s="6">
        <v>0.11959151036320695</v>
      </c>
    </row>
    <row r="8" spans="1:2" x14ac:dyDescent="0.25">
      <c r="A8" t="s">
        <v>6</v>
      </c>
      <c r="B8" s="6">
        <v>0.19365317341329336</v>
      </c>
    </row>
    <row r="9" spans="1:2" x14ac:dyDescent="0.25">
      <c r="A9" t="s">
        <v>7</v>
      </c>
      <c r="B9" s="6">
        <v>0.08863829012953554</v>
      </c>
    </row>
    <row r="10" spans="1:2" x14ac:dyDescent="0.25">
      <c r="A10" t="s">
        <v>8</v>
      </c>
      <c r="B10" s="6">
        <v>0.0963698231629961</v>
      </c>
    </row>
    <row r="11" spans="1:2" x14ac:dyDescent="0.25">
      <c r="A11" t="s">
        <v>9</v>
      </c>
      <c r="B11" s="6">
        <v>-0.4636556104446013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12.213520517273231</v>
      </c>
    </row>
    <row r="14" spans="1:3" x14ac:dyDescent="0.25">
      <c r="A14" t="s">
        <v>12</v>
      </c>
      <c r="B14" s="6">
        <v>0.07835041196953513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1.01139</v>
      </c>
      <c r="C19" s="8" t="s">
        <v>19</v>
      </c>
    </row>
    <row r="20" spans="1:2" x14ac:dyDescent="0.25">
      <c r="A20" t="s">
        <v>20</v>
      </c>
      <c r="B20" s="10">
        <f>B17+B19*B18</f>
        <v>0.08862645</v>
      </c>
    </row>
    <row r="21" spans="1:3" x14ac:dyDescent="0.25">
      <c r="A21" t="s">
        <v>21</v>
      </c>
      <c r="B21" s="6">
        <v>0.05563344569400113</v>
      </c>
      <c r="C21" s="8" t="s">
        <v>22</v>
      </c>
    </row>
    <row r="22" spans="1:2" x14ac:dyDescent="0.25">
      <c r="A22" t="s">
        <v>23</v>
      </c>
      <c r="B22" s="11">
        <v>10540557312</v>
      </c>
    </row>
    <row r="23" spans="1:2" x14ac:dyDescent="0.25">
      <c r="A23" t="s">
        <v>24</v>
      </c>
      <c r="B23" s="11">
        <v>3234200000</v>
      </c>
    </row>
    <row r="24" spans="1:2" x14ac:dyDescent="0.25">
      <c r="A24" t="s">
        <v>25</v>
      </c>
      <c r="B24" s="10">
        <f>B22/(B22+B23)</f>
        <v>0.7652082046351192</v>
      </c>
    </row>
    <row r="25" spans="1:2" x14ac:dyDescent="0.25">
      <c r="A25" t="s">
        <v>26</v>
      </c>
      <c r="B25" s="10">
        <f>1-B24</f>
        <v>0.23479179536488082</v>
      </c>
    </row>
    <row r="26" spans="1:2" x14ac:dyDescent="0.25">
      <c r="A26" t="s">
        <v>27</v>
      </c>
      <c r="B26" s="12">
        <f>B24*B20+B25*B21*(1-B8)</f>
        <v>0.07835041196953513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4914000000</v>
      </c>
      <c r="C29" s="8" t="s">
        <v>30</v>
      </c>
    </row>
    <row r="30" spans="1:2" x14ac:dyDescent="0.25">
      <c r="A30" t="s">
        <v>31</v>
      </c>
      <c r="B30" s="11">
        <v>2681800000</v>
      </c>
    </row>
    <row r="31" spans="1:2" x14ac:dyDescent="0.25">
      <c r="A31" t="s">
        <v>32</v>
      </c>
      <c r="B31" s="13">
        <v>322157823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0.0700611603145096</v>
      </c>
      <c r="C5" s="10">
        <f>Assumptions!B6</f>
        <v>0.0700611603145096</v>
      </c>
      <c r="D5" s="10">
        <f>Assumptions!B6</f>
        <v>0.0700611603145096</v>
      </c>
      <c r="E5" s="10">
        <f>Assumptions!B6</f>
        <v>0.0700611603145096</v>
      </c>
      <c r="F5" s="10">
        <f>Assumptions!B6</f>
        <v>0.0700611603145096</v>
      </c>
    </row>
    <row r="6" spans="1:6" x14ac:dyDescent="0.25">
      <c r="A6" t="s">
        <v>43</v>
      </c>
      <c r="B6" s="18">
        <f>Assumptions!B29*(1+B5)</f>
        <v>5258280541.785501</v>
      </c>
      <c r="C6" s="18">
        <f>B6*(1+C5)</f>
        <v>5626681777.802201</v>
      </c>
      <c r="D6" s="18">
        <f>C6*(1+D5)</f>
        <v>6020893631.875531</v>
      </c>
      <c r="E6" s="18">
        <f>D6*(1+E5)</f>
        <v>6442724425.854973</v>
      </c>
      <c r="F6" s="18">
        <f>E6*(1+F5)</f>
        <v>6894109174.717005</v>
      </c>
    </row>
    <row r="7" spans="1:6" x14ac:dyDescent="0.25">
      <c r="A7" t="s">
        <v>5</v>
      </c>
      <c r="B7" s="10">
        <f>Assumptions!B7</f>
        <v>0.11959151036320695</v>
      </c>
      <c r="C7" s="10">
        <f>Assumptions!B7</f>
        <v>0.11959151036320695</v>
      </c>
      <c r="D7" s="10">
        <f>Assumptions!B7</f>
        <v>0.11959151036320695</v>
      </c>
      <c r="E7" s="10">
        <f>Assumptions!B7</f>
        <v>0.11959151036320695</v>
      </c>
      <c r="F7" s="10">
        <f>Assumptions!B7</f>
        <v>0.11959151036320695</v>
      </c>
    </row>
    <row r="8" spans="1:6" x14ac:dyDescent="0.25">
      <c r="A8" t="s">
        <v>44</v>
      </c>
      <c r="B8" s="18">
        <f>B6*B7</f>
        <v>628845711.9055902</v>
      </c>
      <c r="C8" s="18">
        <f>C6*C7</f>
        <v>672903372.1404996</v>
      </c>
      <c r="D8" s="18">
        <f>D6*D7</f>
        <v>720047763.1722093</v>
      </c>
      <c r="E8" s="18">
        <f>E6*E7</f>
        <v>770495144.9419215</v>
      </c>
      <c r="F8" s="18">
        <f>F6*F7</f>
        <v>824476928.8132488</v>
      </c>
    </row>
    <row r="9" spans="1:6" x14ac:dyDescent="0.25">
      <c r="A9" t="s">
        <v>45</v>
      </c>
      <c r="B9" s="18">
        <f>B8*(1-Assumptions!B8)</f>
        <v>507067744.207731</v>
      </c>
      <c r="C9" s="18">
        <f>C8*(1-Assumptions!B8)</f>
        <v>542593498.7249856</v>
      </c>
      <c r="D9" s="18">
        <f>D8*(1-Assumptions!B8)</f>
        <v>580608228.8247675</v>
      </c>
      <c r="E9" s="18">
        <f>E8*(1-Assumptions!B8)</f>
        <v>621286315.024383</v>
      </c>
      <c r="F9" s="18">
        <f>F8*(1-Assumptions!B8)</f>
        <v>664814355.1425172</v>
      </c>
    </row>
    <row r="10" spans="1:6" x14ac:dyDescent="0.25">
      <c r="A10" t="s">
        <v>46</v>
      </c>
      <c r="B10" s="18">
        <f>B6*Assumptions!B9</f>
        <v>466084996.24527454</v>
      </c>
      <c r="C10" s="18">
        <f>C6*Assumptions!B9</f>
        <v>498739451.88740236</v>
      </c>
      <c r="D10" s="18">
        <f>D6*Assumptions!B9</f>
        <v>533681716.58125633</v>
      </c>
      <c r="E10" s="18">
        <f>E6*Assumptions!B9</f>
        <v>571072076.8835784</v>
      </c>
      <c r="F10" s="18">
        <f>F6*Assumptions!B9</f>
        <v>611082049.2132587</v>
      </c>
    </row>
    <row r="11" spans="1:6" x14ac:dyDescent="0.25">
      <c r="A11" t="s">
        <v>47</v>
      </c>
      <c r="B11" s="18">
        <f>-B6*Assumptions!B10</f>
        <v>-506739565.953292</v>
      </c>
      <c r="C11" s="18">
        <f>-C6*Assumptions!B10</f>
        <v>-542242327.9212506</v>
      </c>
      <c r="D11" s="18">
        <f>-D6*Assumptions!B10</f>
        <v>-580232454.5870543</v>
      </c>
      <c r="E11" s="18">
        <f>-E6*Assumptions!B10</f>
        <v>-620884213.6075593</v>
      </c>
      <c r="F11" s="18">
        <f>-F6*Assumptions!B10</f>
        <v>-664384082.0338668</v>
      </c>
    </row>
    <row r="12" spans="1:6" x14ac:dyDescent="0.25">
      <c r="A12" t="s">
        <v>48</v>
      </c>
      <c r="B12" s="18">
        <f>-(B6-Assumptions!B29)*Assumptions!B11</f>
        <v>159627604.7657543</v>
      </c>
      <c r="C12" s="18">
        <f>-(C6-B6)*Assumptions!B11</f>
        <v>170811299.97386903</v>
      </c>
      <c r="D12" s="18">
        <f>-(D6-C6)*Assumptions!B11</f>
        <v>182778537.8448679</v>
      </c>
      <c r="E12" s="18">
        <f>-(E6-D6)*Assumptions!B11</f>
        <v>195584214.28686887</v>
      </c>
      <c r="F12" s="18">
        <f>-(F6-E6)*Assumptions!B11</f>
        <v>209287071.27900848</v>
      </c>
    </row>
    <row r="13" spans="1:6" x14ac:dyDescent="0.25">
      <c r="A13" s="19" t="s">
        <v>49</v>
      </c>
      <c r="B13" s="20">
        <f>B9+B10+B11+B12</f>
        <v>626040779.2654679</v>
      </c>
      <c r="C13" s="20">
        <f>C9+C10+C11+C12</f>
        <v>669901922.6650064</v>
      </c>
      <c r="D13" s="20">
        <f>D9+D10+D11+D12</f>
        <v>716836028.6638374</v>
      </c>
      <c r="E13" s="20">
        <f>E9+E10+E11+E12</f>
        <v>767058392.587271</v>
      </c>
      <c r="F13" s="20">
        <f>F9+F10+F11+F12</f>
        <v>820799393.6009176</v>
      </c>
    </row>
    <row r="14" spans="1:6" x14ac:dyDescent="0.25">
      <c r="A14" t="s">
        <v>50</v>
      </c>
      <c r="B14" s="21">
        <f>1/(1+Assumptions!$B$26)^(1-0.5*Assumptions!$B$32)</f>
        <v>0.9629861604486148</v>
      </c>
      <c r="C14" s="21">
        <f>1/(1+Assumptions!$B$26)^(2-0.5*Assumptions!$B$32)</f>
        <v>0.8930178444405517</v>
      </c>
      <c r="D14" s="21">
        <f>1/(1+Assumptions!$B$26)^(3-0.5*Assumptions!$B$32)</f>
        <v>0.8281332621828502</v>
      </c>
      <c r="E14" s="21">
        <f>1/(1+Assumptions!$B$26)^(4-0.5*Assumptions!$B$32)</f>
        <v>0.7679630415036612</v>
      </c>
      <c r="F14" s="21">
        <f>1/(1+Assumptions!$B$26)^(5-0.5*Assumptions!$B$32)</f>
        <v>0.7121646479468839</v>
      </c>
    </row>
    <row r="15" spans="1:6" x14ac:dyDescent="0.25">
      <c r="A15" s="19" t="s">
        <v>51</v>
      </c>
      <c r="B15" s="20">
        <f>B13*B14</f>
        <v>602868606.3091117</v>
      </c>
      <c r="C15" s="20">
        <f>C13*C14</f>
        <v>598234370.9648851</v>
      </c>
      <c r="D15" s="20">
        <f>D13*D14</f>
        <v>593635758.8675828</v>
      </c>
      <c r="E15" s="20">
        <f>E13*E14</f>
        <v>589072496.18223</v>
      </c>
      <c r="F15" s="20">
        <f>F13*F14</f>
        <v>584544311.1788133</v>
      </c>
    </row>
    <row r="17" spans="1:2" x14ac:dyDescent="0.25">
      <c r="A17" s="22" t="s">
        <v>52</v>
      </c>
      <c r="B17" s="23">
        <f>SUM(B15:F15)</f>
        <v>2968355543.502623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820799393.6009176</v>
      </c>
    </row>
    <row r="5" spans="1:2" x14ac:dyDescent="0.25">
      <c r="A5" t="s">
        <v>56</v>
      </c>
      <c r="B5" s="18">
        <f>IF(Assumptions!$B$33=0,B4,B4-Forecast!F11-Forecast!F10-Forecast!F12)</f>
        <v>664814355.1425172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0.31907936884519145</v>
      </c>
    </row>
    <row r="7" spans="1:2" x14ac:dyDescent="0.25">
      <c r="A7" t="s">
        <v>58</v>
      </c>
      <c r="B7" s="18">
        <f>-MAX(Forecast!F9,0)*B6</f>
        <v>-212128544.83809733</v>
      </c>
    </row>
    <row r="8" spans="1:2" x14ac:dyDescent="0.25">
      <c r="A8" t="s">
        <v>59</v>
      </c>
      <c r="B8" s="18">
        <f>IF(OR(Assumptions!$B$33=0,Assumptions!B12&lt;=0),B5,MAX(B5+B7,0))</f>
        <v>452685810.3044199</v>
      </c>
    </row>
    <row r="9" spans="1:2" x14ac:dyDescent="0.25">
      <c r="A9" t="s">
        <v>60</v>
      </c>
      <c r="B9" s="18">
        <f>B8*(1+Assumptions!B12)/(Assumptions!B26-Assumptions!B12)</f>
        <v>8697270338.36199</v>
      </c>
    </row>
    <row r="10" spans="1:2" x14ac:dyDescent="0.25">
      <c r="A10" t="s">
        <v>61</v>
      </c>
      <c r="B10" s="18">
        <f>B9/(1+Assumptions!B26)^(5-0.5*Assumptions!B32)</f>
        <v>6193888468.618443</v>
      </c>
    </row>
    <row r="11" spans="1:2" x14ac:dyDescent="0.25">
      <c r="A11" t="s">
        <v>62</v>
      </c>
      <c r="B11" s="18">
        <f>Forecast!B17+B10</f>
        <v>9162244012.121065</v>
      </c>
    </row>
    <row r="12" spans="1:2" x14ac:dyDescent="0.25">
      <c r="A12" t="s">
        <v>63</v>
      </c>
      <c r="B12" s="18">
        <f>-Assumptions!B30</f>
        <v>-2681800000</v>
      </c>
    </row>
    <row r="13" spans="1:2" x14ac:dyDescent="0.25">
      <c r="A13" t="s">
        <v>64</v>
      </c>
      <c r="B13" s="18">
        <f>B11+B12</f>
        <v>6480444012.121065</v>
      </c>
    </row>
    <row r="14" spans="1:2" x14ac:dyDescent="0.25">
      <c r="A14" s="19" t="s">
        <v>65</v>
      </c>
      <c r="B14" s="24">
        <f>B13/Assumptions!B31</f>
        <v>20.115743121721632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1435558978.0265074</v>
      </c>
    </row>
    <row r="18" spans="1:2" x14ac:dyDescent="0.25">
      <c r="A18" t="s">
        <v>60</v>
      </c>
      <c r="B18" s="18">
        <f>B17*Assumptions!B13</f>
        <v>17533229031.882538</v>
      </c>
    </row>
    <row r="19" spans="1:2" x14ac:dyDescent="0.25">
      <c r="A19" t="s">
        <v>61</v>
      </c>
      <c r="B19" s="18">
        <f>B18/(1+Assumptions!B26)^(5-0.5*Assumptions!B32)</f>
        <v>12486545880.862713</v>
      </c>
    </row>
    <row r="20" spans="1:2" x14ac:dyDescent="0.25">
      <c r="A20" t="s">
        <v>62</v>
      </c>
      <c r="B20" s="18">
        <f>Forecast!B17+B19</f>
        <v>15454901424.365335</v>
      </c>
    </row>
    <row r="21" spans="1:2" x14ac:dyDescent="0.25">
      <c r="A21" t="s">
        <v>63</v>
      </c>
      <c r="B21" s="18">
        <f>-Assumptions!B30</f>
        <v>-2681800000</v>
      </c>
    </row>
    <row r="22" spans="1:2" x14ac:dyDescent="0.25">
      <c r="A22" t="s">
        <v>64</v>
      </c>
      <c r="B22" s="18">
        <f>B20+B21</f>
        <v>12773101424.365335</v>
      </c>
    </row>
    <row r="23" spans="1:2" x14ac:dyDescent="0.25">
      <c r="A23" s="19" t="s">
        <v>65</v>
      </c>
      <c r="B23" s="25">
        <f>B22/Assumptions!B31</f>
        <v>39.648583745133315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32.75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20.115743121721632</v>
      </c>
    </row>
    <row r="29" spans="1:2" x14ac:dyDescent="0.25">
      <c r="A29" s="19" t="s">
        <v>73</v>
      </c>
      <c r="B29" s="12">
        <f>B28/B26-1</f>
        <v>-0.3857788359779655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0.05835</v>
      </c>
      <c r="B5" s="31">
        <v>29.460253678430025</v>
      </c>
      <c r="C5" s="31">
        <v>29.76045398332974</v>
      </c>
      <c r="D5" s="31">
        <v>30.110942918929744</v>
      </c>
      <c r="E5" s="31">
        <v>30.53832822634135</v>
      </c>
      <c r="F5" s="31">
        <v>31.092008003088036</v>
      </c>
    </row>
    <row r="6" spans="1:6" x14ac:dyDescent="0.25">
      <c r="A6" s="30">
        <v>0.06835</v>
      </c>
      <c r="B6" s="31">
        <v>23.864829146193273</v>
      </c>
      <c r="C6" s="31">
        <v>23.97694117132447</v>
      </c>
      <c r="D6" s="31">
        <v>24.08905319645565</v>
      </c>
      <c r="E6" s="31">
        <v>24.201165221586848</v>
      </c>
      <c r="F6" s="31">
        <v>24.31327724671803</v>
      </c>
    </row>
    <row r="7" spans="1:6" x14ac:dyDescent="0.25">
      <c r="A7" s="30">
        <v>0.07835</v>
      </c>
      <c r="B7" s="31">
        <v>19.928311485198286</v>
      </c>
      <c r="C7" s="31">
        <v>20.022098749528908</v>
      </c>
      <c r="D7" s="32">
        <v>20.115886013859523</v>
      </c>
      <c r="E7" s="31">
        <v>20.20967327819014</v>
      </c>
      <c r="F7" s="31">
        <v>20.303460542520757</v>
      </c>
    </row>
    <row r="8" spans="1:6" x14ac:dyDescent="0.25">
      <c r="A8" s="30">
        <v>0.08835</v>
      </c>
      <c r="B8" s="31">
        <v>16.878277839359235</v>
      </c>
      <c r="C8" s="31">
        <v>16.958065648463666</v>
      </c>
      <c r="D8" s="31">
        <v>17.037853457568087</v>
      </c>
      <c r="E8" s="31">
        <v>17.117641266672514</v>
      </c>
      <c r="F8" s="31">
        <v>17.197429075776938</v>
      </c>
    </row>
    <row r="9" spans="1:6" x14ac:dyDescent="0.25">
      <c r="A9" s="30">
        <v>0.09835</v>
      </c>
      <c r="B9" s="31">
        <v>14.444591239927801</v>
      </c>
      <c r="C9" s="31">
        <v>14.513376273260418</v>
      </c>
      <c r="D9" s="31">
        <v>14.582161306593028</v>
      </c>
      <c r="E9" s="31">
        <v>14.650946339925637</v>
      </c>
      <c r="F9" s="31">
        <v>14.719731373258243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4914000000</v>
      </c>
      <c r="C5" s="18">
        <v>4707900000</v>
      </c>
      <c r="D5" s="18">
        <v>4282800000</v>
      </c>
      <c r="E5" s="18">
        <v>4010600000</v>
      </c>
      <c r="F5" s="8" t="s">
        <v>84</v>
      </c>
    </row>
    <row r="6" spans="1:6" x14ac:dyDescent="0.25">
      <c r="A6" t="s">
        <v>44</v>
      </c>
      <c r="B6" s="18">
        <v>622500000</v>
      </c>
      <c r="C6" s="18">
        <v>611500000</v>
      </c>
      <c r="D6" s="18">
        <v>469700000</v>
      </c>
      <c r="E6" s="18">
        <v>449700000</v>
      </c>
      <c r="F6" s="8" t="s">
        <v>85</v>
      </c>
    </row>
    <row r="7" spans="1:6" x14ac:dyDescent="0.25">
      <c r="A7" t="s">
        <v>86</v>
      </c>
      <c r="B7" s="18">
        <v>460100000</v>
      </c>
      <c r="C7" s="18">
        <v>414700000</v>
      </c>
      <c r="D7" s="18">
        <v>374800000</v>
      </c>
      <c r="E7" s="18">
        <v>342200000</v>
      </c>
      <c r="F7" s="8" t="s">
        <v>87</v>
      </c>
    </row>
    <row r="8" spans="1:6" x14ac:dyDescent="0.25">
      <c r="A8" t="s">
        <v>88</v>
      </c>
      <c r="B8" s="18">
        <v>361500000</v>
      </c>
      <c r="C8" s="18">
        <v>444100000</v>
      </c>
      <c r="D8" s="18">
        <v>477700000</v>
      </c>
      <c r="E8" s="18">
        <v>425300000</v>
      </c>
      <c r="F8" s="8" t="s">
        <v>89</v>
      </c>
    </row>
    <row r="9" spans="1:6" x14ac:dyDescent="0.25">
      <c r="A9" t="s">
        <v>90</v>
      </c>
      <c r="B9" s="18">
        <v>37700000</v>
      </c>
      <c r="C9" s="18">
        <v>-197100000</v>
      </c>
      <c r="D9" s="18">
        <v>-128100000</v>
      </c>
      <c r="E9" s="18">
        <v>114500000</v>
      </c>
      <c r="F9" s="8" t="s">
        <v>91</v>
      </c>
    </row>
    <row r="10" spans="1:6" x14ac:dyDescent="0.25">
      <c r="A10" t="s">
        <v>92</v>
      </c>
      <c r="B10" s="18">
        <v>3234200000</v>
      </c>
      <c r="C10" s="18">
        <v>3470400000</v>
      </c>
      <c r="D10" s="18">
        <v>3074300000</v>
      </c>
      <c r="E10" s="18">
        <v>3250100000</v>
      </c>
      <c r="F10" s="8" t="s">
        <v>93</v>
      </c>
    </row>
    <row r="11" spans="1:6" x14ac:dyDescent="0.25">
      <c r="A11" t="s">
        <v>94</v>
      </c>
      <c r="B11" s="18">
        <v>552400000</v>
      </c>
      <c r="C11" s="18">
        <v>293700000</v>
      </c>
      <c r="D11" s="18">
        <v>160100000</v>
      </c>
      <c r="E11" s="18">
        <v>217600000</v>
      </c>
      <c r="F11" s="8" t="s">
        <v>95</v>
      </c>
    </row>
    <row r="12" spans="1:6" x14ac:dyDescent="0.25">
      <c r="A12" t="s">
        <v>32</v>
      </c>
      <c r="B12" s="34">
        <v>322157823</v>
      </c>
      <c r="C12" s="34">
        <v>319718252</v>
      </c>
      <c r="D12" s="34">
        <v>320000000</v>
      </c>
      <c r="E12" s="34">
        <v>318142857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