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<sst xmlns="http://schemas.openxmlformats.org/spreadsheetml/2006/main" count="121" uniqueCount="108">
  <si>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Cardinal Health, Inc. (CAH)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</si>
  <si>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</si>
  <si>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</si>
  <si>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</si>
  <si>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</si>
  <si>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</si>
  <si>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</si>
  <si>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</si>
  <si>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</si>
  <si>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</si>
  <si>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</si>
  <si>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</si>
  <si>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</si>
  <si>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</si>
  <si>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</si>
  <si>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</si>
  <si>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</si>
  <si>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</si>
  <si>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</si>
  <si>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</si>
  <si>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</si>
  <si>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</si>
  <si>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</si>
  <si>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</si>
  <si>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9.1x interest cover. Book interest / average debt was lower, at 4.0%.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</si>
  <si>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</si>
  <si>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</si>
  <si>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</si>
  <si>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</si>
  <si>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</si>
  <si>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</si>
  <si>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</si>
  <si>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</si>
  <si>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</si>
  <si>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</si>
  <si>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</si>
  <si>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</si>
  <si>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</si>
  <si>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</si>
  <si>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</si>
  <si>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</si>
  <si>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</si>
  <si>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</si>
  <si>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</si>
  <si>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</si>
  <si>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</si>
  <si>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</si>
  <si>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</si>
  <si>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</si>
  <si>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</si>
  <si>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</si>
  <si>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</si>
  <si>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</si>
  <si>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</si>
  <si>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</si>
  <si>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</si>
  <si>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</si>
  <si>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</si>
  <si>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</si>
  <si>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</si>
  <si>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</si>
  <si>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</si>
  <si>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</si>
  <si>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</si>
  <si>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</si>
  <si>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</si>
  <si>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</si>
  <si>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</si>
  <si>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</si>
  <si>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</si>
  <si>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</si>
  <si>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</si>
  <si>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</si>
  <si>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</si>
  <si>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</si>
  <si>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</si>
  <si>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</si>
  <si>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</si>
  <si>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</si>
  <si>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</si>
  <si>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</si>
  <si>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</si>
  <si>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</si>
  <si>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</si>
  <si>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</si>
  <si>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</si>
  <si>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</si>
  <si>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</si>
  <si>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</si>
  <si>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</si>
  <si>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</si>
  <si>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</si>
  <si>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</si>
  <si>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</si>
  <si>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</si>
  <si>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</si>
  <si>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</si>
  <si>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</si>
  <si>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</si>
  <si>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</si>
  <si>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</si>
  <si>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</si>
  <si>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</si>
  <si>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</si>
  <si>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</si>
  <si>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0.24%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</si>
  <si>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0.3%.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</si>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</sst>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0.0453155320356502</v>
      </c>
    </row>
    <row r="7" spans="1:2" x14ac:dyDescent="0.25">
      <c r="A7" t="s">
        <v>4</v>
      </c>
      <c r="B7" s="5">
        <v>0.010257594637200244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0.003453880049337803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-0.020823308750127462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15.239159288931944</v>
      </c>
    </row>
    <row r="14" spans="1:3" x14ac:dyDescent="0.25">
      <c r="A14" t="s">
        <v>12</v>
      </c>
      <c r="B14" s="5">
        <v>0.6</v>
      </c>
      <c r="C14" s="6" t="s">
        <v>13</v>
      </c>
    </row>
    <row r="15" spans="1:3" x14ac:dyDescent="0.25">
      <c r="A15" t="s">
        <v>14</v>
      </c>
      <c r="B15" s="5">
        <v>0.003453880049337803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0.6790700000000001</v>
      </c>
      <c r="C19" s="6" t="s">
        <v>21</v>
      </c>
    </row>
    <row r="20" spans="1:2" x14ac:dyDescent="0.25">
      <c r="A20" t="s">
        <v>22</v>
      </c>
      <c r="B20" s="9">
        <f>B17+B19*B18</f>
        <v>0.07766466100000001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58892488704</v>
      </c>
    </row>
    <row r="23" spans="1:2" x14ac:dyDescent="0.25">
      <c r="A23" t="s">
        <v>26</v>
      </c>
      <c r="B23" s="10">
        <v>8886000000</v>
      </c>
    </row>
    <row r="24" spans="1:2" x14ac:dyDescent="0.25">
      <c r="A24" t="s">
        <v>27</v>
      </c>
      <c r="B24" s="9">
        <f>B22/(B22+B23)</f>
        <v>0.8688964571221609</v>
      </c>
    </row>
    <row r="25" spans="1:2" x14ac:dyDescent="0.25">
      <c r="A25" t="s">
        <v>28</v>
      </c>
      <c r="B25" s="9">
        <f>1-B24</f>
        <v>0.1311035428778391</v>
      </c>
    </row>
    <row r="26" spans="1:2" x14ac:dyDescent="0.25">
      <c r="A26" t="s">
        <v>29</v>
      </c>
      <c r="B26" s="11">
        <f>B24*B20+B25*B21*(1-B8)</f>
        <v>0.07296563981885638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254248000000</v>
      </c>
      <c r="C29" s="6" t="s">
        <v>32</v>
      </c>
    </row>
    <row r="30" spans="1:2" x14ac:dyDescent="0.25">
      <c r="A30" t="s">
        <v>33</v>
      </c>
      <c r="B30" s="10">
        <v>4030000000</v>
      </c>
    </row>
    <row r="31" spans="1:2" x14ac:dyDescent="0.25">
      <c r="A31" t="s">
        <v>34</v>
      </c>
      <c r="B31" s="12">
        <v>237000000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0.0453155320356502</v>
      </c>
      <c r="C5" s="5">
        <v>0.0605219428810464</v>
      </c>
      <c r="D5" s="5">
        <v>0.0560817000209156</v>
      </c>
      <c r="E5" s="5">
        <v>0.0516414571607848</v>
      </c>
      <c r="F5" s="5">
        <v>0.047201214300654</v>
      </c>
      <c r="G5" s="5">
        <v>0.042760971440523196</v>
      </c>
      <c r="H5" s="5">
        <v>0.0383207285803924</v>
      </c>
      <c r="I5" s="5">
        <v>0.0338804857202616</v>
      </c>
      <c r="J5" s="5">
        <v>0.029440242860130802</v>
      </c>
      <c r="K5" s="5">
        <v>0.025</v>
      </c>
    </row>
    <row r="6" spans="1:11" x14ac:dyDescent="0.25">
      <c r="A6" t="s">
        <v>50</v>
      </c>
      <c r="B6" s="18">
        <f>Assumptions!B29*(1+B5)</f>
        <v>265769383389</v>
      </c>
      <c r="C6" s="18">
        <f>B6*(1+C5)</f>
        <v>281854262830</v>
      </c>
      <c r="D6" s="18">
        <f>C6*(1+D5)</f>
        <v>297661129047.6483</v>
      </c>
      <c r="E6" s="18">
        <f>D6*(1+E5)</f>
        <v>313032783491.7933</v>
      </c>
      <c r="F6" s="18">
        <f>E6*(1+F5)</f>
        <v>327808310988.5196</v>
      </c>
      <c r="G6" s="18">
        <f>F6*(1+G5)</f>
        <v>341825712812.66583</v>
      </c>
      <c r="H6" s="18">
        <f>G6*(1+H5)</f>
        <v>354924723175.1592</v>
      </c>
      <c r="I6" s="18">
        <f>H6*(1+I5)</f>
        <v>366949745190.463</v>
      </c>
      <c r="J6" s="18">
        <f>I6*(1+J5)</f>
        <v>377752834806.3334</v>
      </c>
      <c r="K6" s="18">
        <f>J6*(1+K5)</f>
        <v>387196655676.4917</v>
      </c>
    </row>
    <row r="7" spans="1:11" x14ac:dyDescent="0.25">
      <c r="A7" t="s">
        <v>4</v>
      </c>
      <c r="B7" s="9">
        <f>Assumptions!B7</f>
        <v>0.010257594637200244</v>
      </c>
      <c r="C7" s="9">
        <f>Assumptions!B7</f>
        <v>0.010257594637200244</v>
      </c>
      <c r="D7" s="9">
        <f>Assumptions!B7</f>
        <v>0.010257594637200244</v>
      </c>
      <c r="E7" s="9">
        <f>Assumptions!B7</f>
        <v>0.010257594637200244</v>
      </c>
      <c r="F7" s="9">
        <f>Assumptions!B7</f>
        <v>0.010257594637200244</v>
      </c>
      <c r="G7" s="9">
        <f>Assumptions!B7</f>
        <v>0.010257594637200244</v>
      </c>
      <c r="H7" s="9">
        <f>Assumptions!B7</f>
        <v>0.010257594637200244</v>
      </c>
      <c r="I7" s="9">
        <f>Assumptions!B7</f>
        <v>0.010257594637200244</v>
      </c>
      <c r="J7" s="9">
        <f>Assumptions!B7</f>
        <v>0.010257594637200244</v>
      </c>
      <c r="K7" s="9">
        <f>Assumptions!B7</f>
        <v>0.010257594637200244</v>
      </c>
    </row>
    <row r="8" spans="1:11" x14ac:dyDescent="0.25">
      <c r="A8" t="s">
        <v>51</v>
      </c>
      <c r="B8" s="18">
        <f>B6*B7</f>
        <v>2726154601.783022</v>
      </c>
      <c r="C8" s="18">
        <f>C6*C7</f>
        <v>2891146774.877036</v>
      </c>
      <c r="D8" s="18">
        <f>D6*D7</f>
        <v>3053287201.022127</v>
      </c>
      <c r="E8" s="18">
        <f>E6*E7</f>
        <v>3210963401.2132835</v>
      </c>
      <c r="F8" s="18">
        <f>F6*F7</f>
        <v>3362524772.8255086</v>
      </c>
      <c r="G8" s="18">
        <f>G6*G7</f>
        <v>3506309598.604352</v>
      </c>
      <c r="H8" s="18">
        <f>H6*H7</f>
        <v>3640673937.051294</v>
      </c>
      <c r="I8" s="18">
        <f>I6*I7</f>
        <v>3764021738.3876896</v>
      </c>
      <c r="J8" s="18">
        <f>J6*J7</f>
        <v>3874835452.496635</v>
      </c>
      <c r="K8" s="18">
        <f>K6*K7</f>
        <v>3971706338.8090506</v>
      </c>
    </row>
    <row r="9" spans="1:11" x14ac:dyDescent="0.25">
      <c r="A9" t="s">
        <v>52</v>
      </c>
      <c r="B9" s="18">
        <f>B8*(1-Assumptions!B8)</f>
        <v>2153662135.4085875</v>
      </c>
      <c r="C9" s="18">
        <f>C8*(1-Assumptions!B8)</f>
        <v>2284005952.1528587</v>
      </c>
      <c r="D9" s="18">
        <f>D8*(1-Assumptions!B8)</f>
        <v>2412096888.8074803</v>
      </c>
      <c r="E9" s="18">
        <f>E8*(1-Assumptions!B8)</f>
        <v>2536661086.958494</v>
      </c>
      <c r="F9" s="18">
        <f>F8*(1-Assumptions!B8)</f>
        <v>2656394570.5321517</v>
      </c>
      <c r="G9" s="18">
        <f>G8*(1-Assumptions!B8)</f>
        <v>2769984582.897438</v>
      </c>
      <c r="H9" s="18">
        <f>H8*(1-Assumptions!B8)</f>
        <v>2876132410.270522</v>
      </c>
      <c r="I9" s="18">
        <f>I8*(1-Assumptions!B8)</f>
        <v>2973577173.326275</v>
      </c>
      <c r="J9" s="18">
        <f>J8*(1-Assumptions!B8)</f>
        <v>3061120007.4723415</v>
      </c>
      <c r="K9" s="18">
        <f>K8*(1-Assumptions!B8)</f>
        <v>3137648007.65915</v>
      </c>
    </row>
    <row r="10" spans="1:11" x14ac:dyDescent="0.25">
      <c r="A10" t="s">
        <v>53</v>
      </c>
      <c r="B10" s="18">
        <f>B6*Assumptions!B9</f>
        <v>917935571.0120767</v>
      </c>
      <c r="C10" s="18">
        <f>C6*Assumptions!B9</f>
        <v>973490815.2093505</v>
      </c>
      <c r="D10" s="18">
        <f>D6*Assumptions!B9</f>
        <v>1028085835.0810376</v>
      </c>
      <c r="E10" s="18">
        <f>E6*Assumptions!B9</f>
        <v>1081177685.6909847</v>
      </c>
      <c r="F10" s="18">
        <f>F6*Assumptions!B9</f>
        <v>1132210585.33037</v>
      </c>
      <c r="G10" s="18">
        <f>G6*Assumptions!B9</f>
        <v>1180625009.8343399</v>
      </c>
      <c r="H10" s="18">
        <f>H6*Assumptions!B9</f>
        <v>1225867420.391425</v>
      </c>
      <c r="I10" s="18">
        <f>I6*Assumptions!B9</f>
        <v>1267400404.0229306</v>
      </c>
      <c r="J10" s="18">
        <f>J6*Assumptions!B9</f>
        <v>1304712979.7183936</v>
      </c>
      <c r="K10" s="18">
        <f>K6*Assumptions!B9</f>
        <v>1337330804.2113533</v>
      </c>
    </row>
    <row r="11" spans="1:11" x14ac:dyDescent="0.25">
      <c r="A11" t="s">
        <v>54</v>
      </c>
      <c r="B11" s="18">
        <f>-B6*B19</f>
        <v>-2657693833.89</v>
      </c>
      <c r="C11" s="18">
        <f>-C6*C19</f>
        <v>-2624110972.920265</v>
      </c>
      <c r="D11" s="18">
        <f>-D6*D19</f>
        <v>-2565939864.1738605</v>
      </c>
      <c r="E11" s="18">
        <f>-E6*E19</f>
        <v>-2482509189.1611514</v>
      </c>
      <c r="F11" s="18">
        <f>-F6*F19</f>
        <v>-2373554479.9077206</v>
      </c>
      <c r="G11" s="18">
        <f>-G6*G19</f>
        <v>-2239248187.012811</v>
      </c>
      <c r="H11" s="18">
        <f>-H6*H19</f>
        <v>-2080219924.4634397</v>
      </c>
      <c r="I11" s="18">
        <f>-I6*I19</f>
        <v>-1897565674.909993</v>
      </c>
      <c r="J11" s="18">
        <f>-J6*J19</f>
        <v>-1692845057.9593997</v>
      </c>
      <c r="K11" s="18">
        <f>-K6*K19</f>
        <v>-1468066137.863818</v>
      </c>
    </row>
    <row r="12" spans="1:11" x14ac:dyDescent="0.25">
      <c r="A12" t="s">
        <v>55</v>
      </c>
      <c r="B12" s="18">
        <f>-(B6-Assumptions!B29)*Assumptions!B11</f>
        <v>239913323.5377369</v>
      </c>
      <c r="C12" s="18">
        <f>-(C6-B6)*Assumptions!B11</f>
        <v>334940410.8085206</v>
      </c>
      <c r="D12" s="18">
        <f>-(D6-C6)*Assumptions!B11</f>
        <v>329151255.62205034</v>
      </c>
      <c r="E12" s="18">
        <f>-(E6-D6)*Assumptions!B11</f>
        <v>320088706.4906994</v>
      </c>
      <c r="F12" s="18">
        <f>-(F6-E6)*Assumptions!B11</f>
        <v>307675371.0103301</v>
      </c>
      <c r="G12" s="18">
        <f>-(G6-F6)*Assumptions!B11</f>
        <v>291888686.05879706</v>
      </c>
      <c r="H12" s="18">
        <f>-(H6-G6)*Assumptions!B11</f>
        <v>272764737.099318</v>
      </c>
      <c r="I12" s="18">
        <f>-(I6-H6)*Assumptions!B11</f>
        <v>250400746.15175167</v>
      </c>
      <c r="J12" s="18">
        <f>-(J6-I6)*Assumptions!B11</f>
        <v>224956070.52656442</v>
      </c>
      <c r="K12" s="18">
        <f>-(K6-J6)*Assumptions!B11</f>
        <v>196651597.7602042</v>
      </c>
    </row>
    <row r="13" spans="1:11" x14ac:dyDescent="0.25">
      <c r="A13" s="19" t="s">
        <v>56</v>
      </c>
      <c r="B13" s="20">
        <f>B9+B10+B11+B12</f>
        <v>653817196.0684013</v>
      </c>
      <c r="C13" s="20">
        <f>C9+C10+C11+C12</f>
        <v>968326205.2504647</v>
      </c>
      <c r="D13" s="20">
        <f>D9+D10+D11+D12</f>
        <v>1203394115.3367076</v>
      </c>
      <c r="E13" s="20">
        <f>E9+E10+E11+E12</f>
        <v>1455418289.9790268</v>
      </c>
      <c r="F13" s="20">
        <f>F9+F10+F11+F12</f>
        <v>1722726046.9651313</v>
      </c>
      <c r="G13" s="20">
        <f>G9+G10+G11+G12</f>
        <v>2003250091.777764</v>
      </c>
      <c r="H13" s="20">
        <f>H9+H10+H11+H12</f>
        <v>2294544643.297826</v>
      </c>
      <c r="I13" s="20">
        <f>I9+I10+I11+I12</f>
        <v>2593812648.5909643</v>
      </c>
      <c r="J13" s="20">
        <f>J9+J10+J11+J12</f>
        <v>2897943999.7578998</v>
      </c>
      <c r="K13" s="20">
        <f>K9+K10+K11+K12</f>
        <v>3203564271.7668896</v>
      </c>
    </row>
    <row r="14" spans="1:11" x14ac:dyDescent="0.25">
      <c r="A14" t="s">
        <v>57</v>
      </c>
      <c r="B14" s="21">
        <f>1/(1+Assumptions!$B$26)^(1-0.5*Assumptions!$B$32)</f>
        <v>0.9653995515291696</v>
      </c>
      <c r="C14" s="21">
        <f>1/(1+Assumptions!$B$26)^(2-0.5*Assumptions!$B$32)</f>
        <v>0.8997488043439614</v>
      </c>
      <c r="D14" s="21">
        <f>1/(1+Assumptions!$B$26)^(3-0.5*Assumptions!$B$32)</f>
        <v>0.8385625512629293</v>
      </c>
      <c r="E14" s="21">
        <f>1/(1+Assumptions!$B$26)^(4-0.5*Assumptions!$B$32)</f>
        <v>0.7815371901419881</v>
      </c>
      <c r="F14" s="21">
        <f>1/(1+Assumptions!$B$26)^(5-0.5*Assumptions!$B$32)</f>
        <v>0.7283897649079716</v>
      </c>
      <c r="G14" s="21">
        <f>1/(1+Assumptions!$B$26)^(6-0.5*Assumptions!$B$32)</f>
        <v>0.6788565615492982</v>
      </c>
      <c r="H14" s="21">
        <f>1/(1+Assumptions!$B$26)^(7-0.5*Assumptions!$B$32)</f>
        <v>0.6326917995844735</v>
      </c>
      <c r="I14" s="21">
        <f>1/(1+Assumptions!$B$26)^(8-0.5*Assumptions!$B$32)</f>
        <v>0.5896664125155843</v>
      </c>
      <c r="J14" s="21">
        <f>1/(1+Assumptions!$B$26)^(9-0.5*Assumptions!$B$32)</f>
        <v>0.5495669112154746</v>
      </c>
      <c r="K14" s="21">
        <f>1/(1+Assumptions!$B$26)^(10-0.5*Assumptions!$B$32)</f>
        <v>0.5121943246088061</v>
      </c>
    </row>
    <row r="15" spans="1:11" x14ac:dyDescent="0.25">
      <c r="A15" s="19" t="s">
        <v>58</v>
      </c>
      <c r="B15" s="20">
        <f>B13*B14</f>
        <v>631194827.8664938</v>
      </c>
      <c r="C15" s="20">
        <f>C13*C14</f>
        <v>871250345.3890309</v>
      </c>
      <c r="D15" s="20">
        <f>D13*D14</f>
        <v>1009121239.5315454</v>
      </c>
      <c r="E15" s="20">
        <f>E13*E14</f>
        <v>1137463520.8314657</v>
      </c>
      <c r="F15" s="20">
        <f>F13*F14</f>
        <v>1254816020.3497713</v>
      </c>
      <c r="G15" s="20">
        <f>G13*G14</f>
        <v>1359919469.2275689</v>
      </c>
      <c r="H15" s="20">
        <f>H13*H14</f>
        <v>1451739579.5950153</v>
      </c>
      <c r="I15" s="20">
        <f>I13*I14</f>
        <v>1529484199.2321799</v>
      </c>
      <c r="J15" s="20">
        <f>J13*J14</f>
        <v>1592614132.8223672</v>
      </c>
      <c r="K15" s="20">
        <f>K13*K14</f>
        <v>1640847438.5185437</v>
      </c>
    </row>
    <row r="17" spans="1:2" x14ac:dyDescent="0.25">
      <c r="A17" s="22" t="s">
        <v>59</v>
      </c>
      <c r="B17" s="23">
        <f>SUM(B15:K15)</f>
        <v>12478450773.363981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0.00931016954142359</v>
      </c>
      <c r="D19" s="9">
        <f>Assumptions!$B$10+($B$20-Assumptions!$B$10)*2/9</f>
        <v>0.00862033908284718</v>
      </c>
      <c r="E19" s="9">
        <f>Assumptions!$B$10+($B$20-Assumptions!$B$10)*3/9</f>
        <v>0.00793050862427077</v>
      </c>
      <c r="F19" s="9">
        <f>Assumptions!$B$10+($B$20-Assumptions!$B$10)*4/9</f>
        <v>0.0072406781656943605</v>
      </c>
      <c r="G19" s="9">
        <f>Assumptions!$B$10+($B$20-Assumptions!$B$10)*5/9</f>
        <v>0.00655084770711795</v>
      </c>
      <c r="H19" s="9">
        <f>Assumptions!$B$10+($B$20-Assumptions!$B$10)*6/9</f>
        <v>0.005861017248541541</v>
      </c>
      <c r="I19" s="9">
        <f>Assumptions!$B$10+($B$20-Assumptions!$B$10)*7/9</f>
        <v>0.00517118678996513</v>
      </c>
      <c r="J19" s="9">
        <f>Assumptions!$B$10+($B$20-Assumptions!$B$10)*8/9</f>
        <v>0.004481356331388721</v>
      </c>
      <c r="K19" s="9">
        <f>Assumptions!$B$10+($B$20-Assumptions!$B$10)*9/9</f>
        <v>0.0037915258728123107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0.0037915258728123107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3203564271.7668896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3137648007.65915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0.04166666666666667</v>
      </c>
    </row>
    <row r="7" spans="1:2" x14ac:dyDescent="0.25">
      <c r="A7" t="s">
        <v>66</v>
      </c>
      <c r="B7" s="18">
        <f>-MAX(B5,0)*B6</f>
        <v>-130735333.6524646</v>
      </c>
    </row>
    <row r="8" spans="1:2" x14ac:dyDescent="0.25">
      <c r="A8" t="s">
        <v>67</v>
      </c>
      <c r="B8" s="18">
        <f>IF(OR(Assumptions!$B$33=0,Assumptions!B12&lt;=0),B5,MAX(B5+B7,0))</f>
        <v>3006912674.0066857</v>
      </c>
    </row>
    <row r="9" spans="1:2" x14ac:dyDescent="0.25">
      <c r="A9" t="s">
        <v>68</v>
      </c>
      <c r="B9" s="18">
        <f>B8*(1+Assumptions!B12)/(Assumptions!B26-Assumptions!B12)</f>
        <v>64256111301.682556</v>
      </c>
    </row>
    <row r="10" spans="1:2" x14ac:dyDescent="0.25">
      <c r="A10" t="s">
        <v>69</v>
      </c>
      <c r="B10" s="18">
        <f>B9/(1+Assumptions!B26)^(10-0.5*Assumptions!B32)</f>
        <v>32911615530.15357</v>
      </c>
    </row>
    <row r="11" spans="1:2" x14ac:dyDescent="0.25">
      <c r="A11" t="s">
        <v>70</v>
      </c>
      <c r="B11" s="18">
        <f>Forecast!B17+B10</f>
        <v>45390066303.51755</v>
      </c>
    </row>
    <row r="12" spans="1:2" x14ac:dyDescent="0.25">
      <c r="A12" t="s">
        <v>71</v>
      </c>
      <c r="B12" s="18">
        <f>-Assumptions!B30</f>
        <v>-4030000000</v>
      </c>
    </row>
    <row r="13" spans="1:2" x14ac:dyDescent="0.25">
      <c r="A13" t="s">
        <v>72</v>
      </c>
      <c r="B13" s="18">
        <f>B11+B12</f>
        <v>41360066303.51755</v>
      </c>
    </row>
    <row r="14" spans="1:2" x14ac:dyDescent="0.25">
      <c r="A14" s="19" t="s">
        <v>73</v>
      </c>
      <c r="B14" s="24">
        <f>B13/Assumptions!B31</f>
        <v>174.51504769416687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5309037143.020404</v>
      </c>
    </row>
    <row r="18" spans="1:2" x14ac:dyDescent="0.25">
      <c r="A18" t="s">
        <v>68</v>
      </c>
      <c r="B18" s="18">
        <f>B17*Assumptions!B13</f>
        <v>80905262693.3441</v>
      </c>
    </row>
    <row r="19" spans="1:2" x14ac:dyDescent="0.25">
      <c r="A19" t="s">
        <v>69</v>
      </c>
      <c r="B19" s="18">
        <f>B18/(1+Assumptions!B26)^(10-0.5*Assumptions!B32)</f>
        <v>41439216382.51542</v>
      </c>
    </row>
    <row r="20" spans="1:2" x14ac:dyDescent="0.25">
      <c r="A20" t="s">
        <v>70</v>
      </c>
      <c r="B20" s="18">
        <f>Forecast!B17+B19</f>
        <v>53917667155.8794</v>
      </c>
    </row>
    <row r="21" spans="1:2" x14ac:dyDescent="0.25">
      <c r="A21" t="s">
        <v>71</v>
      </c>
      <c r="B21" s="18">
        <f>-Assumptions!B30</f>
        <v>-4030000000</v>
      </c>
    </row>
    <row r="22" spans="1:2" x14ac:dyDescent="0.25">
      <c r="A22" t="s">
        <v>72</v>
      </c>
      <c r="B22" s="18">
        <f>B20+B21</f>
        <v>49887667155.8794</v>
      </c>
    </row>
    <row r="23" spans="1:2" x14ac:dyDescent="0.25">
      <c r="A23" s="19" t="s">
        <v>73</v>
      </c>
      <c r="B23" s="25">
        <f>B22/Assumptions!B31</f>
        <v>210.4964858897865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254.33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174.51504769416687</v>
      </c>
    </row>
    <row r="29" spans="1:2" x14ac:dyDescent="0.25">
      <c r="A29" s="19" t="s">
        <v>81</v>
      </c>
      <c r="B29" s="11">
        <f>B28/B26-1</f>
        <v>-0.31382437111561023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0.052966</v>
      </c>
      <c r="B5" s="31">
        <v>253.75714905252818</v>
      </c>
      <c r="C5" s="31">
        <v>284.5648336020233</v>
      </c>
      <c r="D5" s="31">
        <v>326.49176928161705</v>
      </c>
      <c r="E5" s="31">
        <v>386.8003773641248</v>
      </c>
      <c r="F5" s="31">
        <v>480.8377070560316</v>
      </c>
    </row>
    <row r="6" spans="1:6" x14ac:dyDescent="0.25">
      <c r="A6" s="30">
        <v>0.062966</v>
      </c>
      <c r="B6" s="31">
        <v>192.14459271296585</v>
      </c>
      <c r="C6" s="31">
        <v>208.98049952424978</v>
      </c>
      <c r="D6" s="31">
        <v>230.32258561927185</v>
      </c>
      <c r="E6" s="31">
        <v>258.221226817242</v>
      </c>
      <c r="F6" s="31">
        <v>296.19313364323415</v>
      </c>
    </row>
    <row r="7" spans="1:6" x14ac:dyDescent="0.25">
      <c r="A7" s="30">
        <v>0.072966</v>
      </c>
      <c r="B7" s="31">
        <v>152.04232042952242</v>
      </c>
      <c r="C7" s="31">
        <v>162.19296857725234</v>
      </c>
      <c r="D7" s="32">
        <v>174.51346110710998</v>
      </c>
      <c r="E7" s="31">
        <v>189.76131944840964</v>
      </c>
      <c r="F7" s="31">
        <v>209.09311756658428</v>
      </c>
    </row>
    <row r="8" spans="1:6" x14ac:dyDescent="0.25">
      <c r="A8" s="30">
        <v>0.082966</v>
      </c>
      <c r="B8" s="31">
        <v>123.94093678175673</v>
      </c>
      <c r="C8" s="31">
        <v>130.4674021356666</v>
      </c>
      <c r="D8" s="31">
        <v>138.16174311985475</v>
      </c>
      <c r="E8" s="31">
        <v>147.35470274784265</v>
      </c>
      <c r="F8" s="31">
        <v>158.51493130643743</v>
      </c>
    </row>
    <row r="9" spans="1:6" x14ac:dyDescent="0.25">
      <c r="A9" s="30">
        <v>0.092966</v>
      </c>
      <c r="B9" s="31">
        <v>103.21079783924856</v>
      </c>
      <c r="C9" s="31">
        <v>107.59938540958383</v>
      </c>
      <c r="D9" s="31">
        <v>112.66754840471611</v>
      </c>
      <c r="E9" s="31">
        <v>118.57717786698501</v>
      </c>
      <c r="F9" s="31">
        <v>125.54602207998867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254248000000</v>
      </c>
      <c r="C5" s="18">
        <v>222578000000</v>
      </c>
      <c r="D5" s="18">
        <v>226827000000</v>
      </c>
      <c r="E5" s="18">
        <v>204979000000</v>
      </c>
      <c r="F5" s="6" t="s">
        <v>91</v>
      </c>
    </row>
    <row r="6" spans="1:6" x14ac:dyDescent="0.25">
      <c r="A6" t="s">
        <v>51</v>
      </c>
      <c r="B6" s="18">
        <v>3173000000</v>
      </c>
      <c r="C6" s="18">
        <v>2322000000</v>
      </c>
      <c r="D6" s="18">
        <v>2130000000</v>
      </c>
      <c r="E6" s="18">
        <v>1789000000</v>
      </c>
      <c r="F6" s="6" t="s">
        <v>92</v>
      </c>
    </row>
    <row r="7" spans="1:6" x14ac:dyDescent="0.25">
      <c r="A7" t="s">
        <v>93</v>
      </c>
      <c r="B7" s="18">
        <v>956000000</v>
      </c>
      <c r="C7" s="18">
        <v>790000000</v>
      </c>
      <c r="D7" s="18">
        <v>710000000</v>
      </c>
      <c r="E7" s="18">
        <v>692000000</v>
      </c>
      <c r="F7" s="6" t="s">
        <v>94</v>
      </c>
    </row>
    <row r="8" spans="1:6" x14ac:dyDescent="0.25">
      <c r="A8" t="s">
        <v>95</v>
      </c>
      <c r="B8" s="18">
        <v>649000000</v>
      </c>
      <c r="C8" s="18">
        <v>547000000</v>
      </c>
      <c r="D8" s="18">
        <v>511000000</v>
      </c>
      <c r="E8" s="18">
        <v>481000000</v>
      </c>
      <c r="F8" s="6" t="s">
        <v>96</v>
      </c>
    </row>
    <row r="9" spans="1:6" x14ac:dyDescent="0.25">
      <c r="A9" t="s">
        <v>97</v>
      </c>
      <c r="B9" s="18">
        <v>-1661000000</v>
      </c>
      <c r="C9" s="18">
        <v>523000000</v>
      </c>
      <c r="D9" s="18">
        <v>-1510000000</v>
      </c>
      <c r="E9" s="18">
        <v>-457000000</v>
      </c>
      <c r="F9" s="6" t="s">
        <v>98</v>
      </c>
    </row>
    <row r="10" spans="1:6" x14ac:dyDescent="0.25">
      <c r="A10" t="s">
        <v>99</v>
      </c>
      <c r="B10" s="18">
        <v>8886000000</v>
      </c>
      <c r="C10" s="18">
        <v>8527000000</v>
      </c>
      <c r="D10" s="18">
        <v>5092000000</v>
      </c>
      <c r="E10" s="18">
        <v>4701000000</v>
      </c>
      <c r="F10" s="6" t="s">
        <v>100</v>
      </c>
    </row>
    <row r="11" spans="1:6" x14ac:dyDescent="0.25">
      <c r="A11" t="s">
        <v>101</v>
      </c>
      <c r="B11" s="18">
        <v>4856000000</v>
      </c>
      <c r="C11" s="18">
        <v>3874000000</v>
      </c>
      <c r="D11" s="18">
        <v>5133000000</v>
      </c>
      <c r="E11" s="18">
        <v>4076000000</v>
      </c>
      <c r="F11" s="6" t="s">
        <v>102</v>
      </c>
    </row>
    <row r="12" spans="1:6" x14ac:dyDescent="0.25">
      <c r="A12" t="s">
        <v>34</v>
      </c>
      <c r="B12" s="34">
        <v>237000000</v>
      </c>
      <c r="C12" s="34">
        <v>242000000</v>
      </c>
      <c r="D12" s="34">
        <v>247000000</v>
      </c>
      <c r="E12" s="34">
        <v>262000000</v>
      </c>
      <c r="F12" s="6" t="s">
        <v>103</v>
      </c>
    </row>
    <row r="15" spans="1:1" x14ac:dyDescent="0.25">
      <c r="A15" s="19" t="s">
        <v>104</v>
      </c>
    </row>
    <row r="16" ht="86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