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<sst xmlns="http://schemas.openxmlformats.org/spreadsheetml/2006/main" count="113" uniqueCount="101">
  <si>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Cardinal Health, Inc. (CAH)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</si>
  <si>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</si>
  <si>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</si>
  <si>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</si>
  <si>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</si>
  <si>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</si>
  <si>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</si>
  <si>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</si>
  <si>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</si>
  <si>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</si>
  <si>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</si>
  <si>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</si>
  <si>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</si>
  <si>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</si>
  <si>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</si>
  <si>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</si>
  <si>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</si>
  <si>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</si>
  <si>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</si>
  <si>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</si>
  <si>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</si>
  <si>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</si>
  <si>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</si>
  <si>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</si>
  <si>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</si>
  <si>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</si>
  <si>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</si>
  <si>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</si>
  <si>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</si>
  <si>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</si>
  <si>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</si>
  <si>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</si>
  <si>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</si>
  <si>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</si>
  <si>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</si>
  <si>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</si>
  <si>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</si>
  <si>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</si>
  <si>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</si>
  <si>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</si>
  <si>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</si>
  <si>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</si>
  <si>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</si>
  <si>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</si>
  <si>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</si>
  <si>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</si>
  <si>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</si>
  <si>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</si>
  <si>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</si>
  <si>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</si>
  <si>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</si>
  <si>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</si>
  <si>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</si>
  <si>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</si>
  <si>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</si>
  <si>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</si>
  <si>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</si>
  <si>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</si>
  <si>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</si>
  <si>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</si>
  <si>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</si>
  <si>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</si>
  <si>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</si>
  <si>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</si>
  <si>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</si>
  <si>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</si>
  <si>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</si>
  <si>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</si>
  <si>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</si>
  <si>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</si>
  <si>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</si>
  <si>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</si>
  <si>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</si>
  <si>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</si>
  <si>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</si>
  <si>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</si>
  <si>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</si>
  <si>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</si>
  <si>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</si>
  <si>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</si>
  <si>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</si>
  <si>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</si>
  <si>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</si>
  <si>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</si>
  <si>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</si>
  <si>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</si>
  <si>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</si>
  <si>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</si>
  <si>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</si>
  <si>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</si>
  <si>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</si>
  <si>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</si>
  <si>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</si>
  <si>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</si>
  <si>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</si>
  <si>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</si>
  <si>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</si>
  <si>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</si>
  <si>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0.24%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</si>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</sst>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0.07444137775897364</v>
      </c>
    </row>
    <row r="7" spans="1:2" x14ac:dyDescent="0.25">
      <c r="A7" t="s">
        <v>5</v>
      </c>
      <c r="B7" s="6">
        <v>0.010257594637200244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0.003453880049337803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-0.06911387770047601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13.671086686364736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0.6777299999999999</v>
      </c>
      <c r="C19" s="8" t="s">
        <v>19</v>
      </c>
    </row>
    <row r="20" spans="1:2" x14ac:dyDescent="0.25">
      <c r="A20" t="s">
        <v>20</v>
      </c>
      <c r="B20" s="10">
        <f>B17+B19*B18</f>
        <v>0.08725515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52417916928</v>
      </c>
    </row>
    <row r="23" spans="1:2" x14ac:dyDescent="0.25">
      <c r="A23" t="s">
        <v>24</v>
      </c>
      <c r="B23" s="11">
        <v>8886000000</v>
      </c>
    </row>
    <row r="24" spans="1:2" x14ac:dyDescent="0.25">
      <c r="A24" t="s">
        <v>25</v>
      </c>
      <c r="B24" s="10">
        <f>B22/(B22+B23)</f>
        <v>0.8550500450006091</v>
      </c>
    </row>
    <row r="25" spans="1:2" x14ac:dyDescent="0.25">
      <c r="A25" t="s">
        <v>26</v>
      </c>
      <c r="B25" s="10">
        <f>1-B24</f>
        <v>0.1449499549993909</v>
      </c>
    </row>
    <row r="26" spans="1:2" x14ac:dyDescent="0.25">
      <c r="A26" t="s">
        <v>27</v>
      </c>
      <c r="B26" s="12">
        <f>B24*B20+B25*B21*(1-B8)</f>
        <v>0.08033075294722185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254248000000</v>
      </c>
      <c r="C29" s="8" t="s">
        <v>30</v>
      </c>
    </row>
    <row r="30" spans="1:2" x14ac:dyDescent="0.25">
      <c r="A30" t="s">
        <v>31</v>
      </c>
      <c r="B30" s="11">
        <v>4030000000</v>
      </c>
    </row>
    <row r="31" spans="1:2" x14ac:dyDescent="0.25">
      <c r="A31" t="s">
        <v>32</v>
      </c>
      <c r="B31" s="13">
        <v>237000000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0.07444137775897364</v>
      </c>
      <c r="C5" s="10">
        <f>Assumptions!B6</f>
        <v>0.07444137775897364</v>
      </c>
      <c r="D5" s="10">
        <f>Assumptions!B6</f>
        <v>0.07444137775897364</v>
      </c>
      <c r="E5" s="10">
        <f>Assumptions!B6</f>
        <v>0.07444137775897364</v>
      </c>
      <c r="F5" s="10">
        <f>Assumptions!B6</f>
        <v>0.07444137775897364</v>
      </c>
    </row>
    <row r="6" spans="1:6" x14ac:dyDescent="0.25">
      <c r="A6" t="s">
        <v>43</v>
      </c>
      <c r="B6" s="18">
        <f>Assumptions!B29*(1+B5)</f>
        <v>273174571412.46353</v>
      </c>
      <c r="C6" s="18">
        <f>B6*(1+C5)</f>
        <v>293510062877.12445</v>
      </c>
      <c r="D6" s="18">
        <f>C6*(1+D5)</f>
        <v>315359356343.82056</v>
      </c>
      <c r="E6" s="18">
        <f>D6*(1+E5)</f>
        <v>338835141319.2377</v>
      </c>
      <c r="F6" s="18">
        <f>E6*(1+F5)</f>
        <v>364058496072.19824</v>
      </c>
    </row>
    <row r="7" spans="1:6" x14ac:dyDescent="0.25">
      <c r="A7" t="s">
        <v>5</v>
      </c>
      <c r="B7" s="10">
        <f>Assumptions!B7</f>
        <v>0.010257594637200244</v>
      </c>
      <c r="C7" s="10">
        <f>Assumptions!B7</f>
        <v>0.010257594637200244</v>
      </c>
      <c r="D7" s="10">
        <f>Assumptions!B7</f>
        <v>0.010257594637200244</v>
      </c>
      <c r="E7" s="10">
        <f>Assumptions!B7</f>
        <v>0.010257594637200244</v>
      </c>
      <c r="F7" s="10">
        <f>Assumptions!B7</f>
        <v>0.010257594637200244</v>
      </c>
    </row>
    <row r="8" spans="1:6" x14ac:dyDescent="0.25">
      <c r="A8" t="s">
        <v>44</v>
      </c>
      <c r="B8" s="18">
        <f>B6*B7</f>
        <v>2802114018.739961</v>
      </c>
      <c r="C8" s="18">
        <f>C6*C7</f>
        <v>3010707246.9326982</v>
      </c>
      <c r="D8" s="18">
        <f>D6*D7</f>
        <v>3234828442.4232945</v>
      </c>
      <c r="E8" s="18">
        <f>E6*E7</f>
        <v>3475633528.491199</v>
      </c>
      <c r="F8" s="18">
        <f>F6*F7</f>
        <v>3734364476.937367</v>
      </c>
    </row>
    <row r="9" spans="1:6" x14ac:dyDescent="0.25">
      <c r="A9" t="s">
        <v>45</v>
      </c>
      <c r="B9" s="18">
        <f>B8*(1-Assumptions!B8)</f>
        <v>2213670074.8045692</v>
      </c>
      <c r="C9" s="18">
        <f>C8*(1-Assumptions!B8)</f>
        <v>2378458725.076832</v>
      </c>
      <c r="D9" s="18">
        <f>D8*(1-Assumptions!B8)</f>
        <v>2555514469.514403</v>
      </c>
      <c r="E9" s="18">
        <f>E8*(1-Assumptions!B8)</f>
        <v>2745750487.5080476</v>
      </c>
      <c r="F9" s="18">
        <f>F8*(1-Assumptions!B8)</f>
        <v>2950147936.78052</v>
      </c>
    </row>
    <row r="10" spans="1:6" x14ac:dyDescent="0.25">
      <c r="A10" t="s">
        <v>46</v>
      </c>
      <c r="B10" s="18">
        <f>B6*Assumptions!B9</f>
        <v>943512202.1879127</v>
      </c>
      <c r="C10" s="18">
        <f>C6*Assumptions!B9</f>
        <v>1013748550.4511842</v>
      </c>
      <c r="D10" s="18">
        <f>D6*Assumptions!B9</f>
        <v>1089213389.2479327</v>
      </c>
      <c r="E10" s="18">
        <f>E6*Assumptions!B9</f>
        <v>1170295934.61707</v>
      </c>
      <c r="F10" s="18">
        <f>F6*Assumptions!B9</f>
        <v>1257414376.3756905</v>
      </c>
    </row>
    <row r="11" spans="1:6" x14ac:dyDescent="0.25">
      <c r="A11" t="s">
        <v>47</v>
      </c>
      <c r="B11" s="18">
        <f>-B6*Assumptions!B10</f>
        <v>-2731745714.124635</v>
      </c>
      <c r="C11" s="18">
        <f>-C6*Assumptions!B10</f>
        <v>-2935100628.7712445</v>
      </c>
      <c r="D11" s="18">
        <f>-D6*Assumptions!B10</f>
        <v>-3153593563.4382057</v>
      </c>
      <c r="E11" s="18">
        <f>-E6*Assumptions!B10</f>
        <v>-3388351413.1923766</v>
      </c>
      <c r="F11" s="18">
        <f>-F6*Assumptions!B10</f>
        <v>-3640584960.7219825</v>
      </c>
    </row>
    <row r="12" spans="1:6" x14ac:dyDescent="0.25">
      <c r="A12" t="s">
        <v>48</v>
      </c>
      <c r="B12" s="18">
        <f>-(B6-Assumptions!B29)*Assumptions!B11</f>
        <v>1308088741.89033</v>
      </c>
      <c r="C12" s="18">
        <f>-(C6-B6)*Assumptions!B11</f>
        <v>1405464670.0676486</v>
      </c>
      <c r="D12" s="18">
        <f>-(D6-C6)*Assumptions!B11</f>
        <v>1510089396.4990442</v>
      </c>
      <c r="E12" s="18">
        <f>-(E6-D6)*Assumptions!B11</f>
        <v>1622502531.7136507</v>
      </c>
      <c r="F12" s="18">
        <f>-(F6-E6)*Assumptions!B11</f>
        <v>1743283855.5918374</v>
      </c>
    </row>
    <row r="13" spans="1:6" x14ac:dyDescent="0.25">
      <c r="A13" s="19" t="s">
        <v>49</v>
      </c>
      <c r="B13" s="20">
        <f>B9+B10+B11+B12</f>
        <v>1733525304.758177</v>
      </c>
      <c r="C13" s="20">
        <f>C9+C10+C11+C12</f>
        <v>1862571316.8244202</v>
      </c>
      <c r="D13" s="20">
        <f>D9+D10+D11+D12</f>
        <v>2001223691.8231742</v>
      </c>
      <c r="E13" s="20">
        <f>E9+E10+E11+E12</f>
        <v>2150197540.6463914</v>
      </c>
      <c r="F13" s="20">
        <f>F9+F10+F11+F12</f>
        <v>2310261208.0260653</v>
      </c>
    </row>
    <row r="14" spans="1:6" x14ac:dyDescent="0.25">
      <c r="A14" t="s">
        <v>50</v>
      </c>
      <c r="B14" s="21">
        <f>1/(1+Assumptions!$B$26)^(1-0.5*Assumptions!$B$32)</f>
        <v>0.9621031365716607</v>
      </c>
      <c r="C14" s="21">
        <f>1/(1+Assumptions!$B$26)^(2-0.5*Assumptions!$B$32)</f>
        <v>0.8905635000641909</v>
      </c>
      <c r="D14" s="21">
        <f>1/(1+Assumptions!$B$26)^(3-0.5*Assumptions!$B$32)</f>
        <v>0.8243433759843161</v>
      </c>
      <c r="E14" s="21">
        <f>1/(1+Assumptions!$B$26)^(4-0.5*Assumptions!$B$32)</f>
        <v>0.763047218396261</v>
      </c>
      <c r="F14" s="21">
        <f>1/(1+Assumptions!$B$26)^(5-0.5*Assumptions!$B$32)</f>
        <v>0.7063088931927671</v>
      </c>
    </row>
    <row r="15" spans="1:6" x14ac:dyDescent="0.25">
      <c r="A15" s="19" t="s">
        <v>51</v>
      </c>
      <c r="B15" s="20">
        <f>B13*B14</f>
        <v>1667830133.0341861</v>
      </c>
      <c r="C15" s="20">
        <f>C13*C14</f>
        <v>1658738031.0303247</v>
      </c>
      <c r="D15" s="20">
        <f>D13*D14</f>
        <v>1649695494.217312</v>
      </c>
      <c r="E15" s="20">
        <f>E13*E14</f>
        <v>1640702252.3927102</v>
      </c>
      <c r="F15" s="20">
        <f>F13*F14</f>
        <v>1631758036.8270752</v>
      </c>
    </row>
    <row r="17" spans="1:2" x14ac:dyDescent="0.25">
      <c r="A17" s="22" t="s">
        <v>52</v>
      </c>
      <c r="B17" s="23">
        <f>SUM(B15:F15)</f>
        <v>8248723947.501609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2310261208.0260653</v>
      </c>
    </row>
    <row r="5" spans="1:2" x14ac:dyDescent="0.25">
      <c r="A5" t="s">
        <v>56</v>
      </c>
      <c r="B5" s="18">
        <f>IF(Assumptions!$B$33=0,B4,B4-Forecast!F11-Forecast!F10-Forecast!F12)</f>
        <v>2950147936.78052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-122922830.69918835</v>
      </c>
    </row>
    <row r="8" spans="1:2" x14ac:dyDescent="0.25">
      <c r="A8" t="s">
        <v>59</v>
      </c>
      <c r="B8" s="18">
        <f>IF(OR(Assumptions!$B$33=0,Assumptions!B12&lt;=0),B5,MAX(B5+B7,0))</f>
        <v>2827225106.0813317</v>
      </c>
    </row>
    <row r="9" spans="1:2" x14ac:dyDescent="0.25">
      <c r="A9" t="s">
        <v>60</v>
      </c>
      <c r="B9" s="18">
        <f>B8*(1+Assumptions!B12)/(Assumptions!B26-Assumptions!B12)</f>
        <v>52374232761.61775</v>
      </c>
    </row>
    <row r="10" spans="1:2" x14ac:dyDescent="0.25">
      <c r="A10" t="s">
        <v>61</v>
      </c>
      <c r="B10" s="18">
        <f>B9/(1+Assumptions!B26)^(5-0.5*Assumptions!B32)</f>
        <v>36992386373.6786</v>
      </c>
    </row>
    <row r="11" spans="1:2" x14ac:dyDescent="0.25">
      <c r="A11" t="s">
        <v>62</v>
      </c>
      <c r="B11" s="18">
        <f>Forecast!B17+B10</f>
        <v>45241110321.18021</v>
      </c>
    </row>
    <row r="12" spans="1:2" x14ac:dyDescent="0.25">
      <c r="A12" t="s">
        <v>63</v>
      </c>
      <c r="B12" s="18">
        <f>-Assumptions!B30</f>
        <v>-4030000000</v>
      </c>
    </row>
    <row r="13" spans="1:2" x14ac:dyDescent="0.25">
      <c r="A13" t="s">
        <v>64</v>
      </c>
      <c r="B13" s="18">
        <f>B11+B12</f>
        <v>41211110321.18021</v>
      </c>
    </row>
    <row r="14" spans="1:2" x14ac:dyDescent="0.25">
      <c r="A14" s="19" t="s">
        <v>65</v>
      </c>
      <c r="B14" s="24">
        <f>B13/Assumptions!B31</f>
        <v>173.88654143957893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4991778853.313057</v>
      </c>
    </row>
    <row r="18" spans="1:2" x14ac:dyDescent="0.25">
      <c r="A18" t="s">
        <v>60</v>
      </c>
      <c r="B18" s="18">
        <f>B17*Assumptions!B13</f>
        <v>68243041422.80516</v>
      </c>
    </row>
    <row r="19" spans="1:2" x14ac:dyDescent="0.25">
      <c r="A19" t="s">
        <v>61</v>
      </c>
      <c r="B19" s="18">
        <f>B18/(1+Assumptions!B26)^(5-0.5*Assumptions!B32)</f>
        <v>48200667055.44968</v>
      </c>
    </row>
    <row r="20" spans="1:2" x14ac:dyDescent="0.25">
      <c r="A20" t="s">
        <v>62</v>
      </c>
      <c r="B20" s="18">
        <f>Forecast!B17+B19</f>
        <v>56449391002.95129</v>
      </c>
    </row>
    <row r="21" spans="1:2" x14ac:dyDescent="0.25">
      <c r="A21" t="s">
        <v>63</v>
      </c>
      <c r="B21" s="18">
        <f>-Assumptions!B30</f>
        <v>-4030000000</v>
      </c>
    </row>
    <row r="22" spans="1:2" x14ac:dyDescent="0.25">
      <c r="A22" t="s">
        <v>64</v>
      </c>
      <c r="B22" s="18">
        <f>B20+B21</f>
        <v>52419391002.95129</v>
      </c>
    </row>
    <row r="23" spans="1:2" x14ac:dyDescent="0.25">
      <c r="A23" s="19" t="s">
        <v>65</v>
      </c>
      <c r="B23" s="25">
        <f>B22/Assumptions!B31</f>
        <v>221.17886499135565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225.38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173.88654143957893</v>
      </c>
    </row>
    <row r="29" spans="1:2" x14ac:dyDescent="0.25">
      <c r="A29" s="19" t="s">
        <v>73</v>
      </c>
      <c r="B29" s="12">
        <f>B28/B26-1</f>
        <v>-0.22847394871071547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0.060331</v>
      </c>
      <c r="B5" s="31">
        <v>228.24806128293716</v>
      </c>
      <c r="C5" s="31">
        <v>253.27153629612687</v>
      </c>
      <c r="D5" s="31">
        <v>285.35503809707626</v>
      </c>
      <c r="E5" s="31">
        <v>327.9900572998898</v>
      </c>
      <c r="F5" s="31">
        <v>387.4247783831889</v>
      </c>
    </row>
    <row r="6" spans="1:6" x14ac:dyDescent="0.25">
      <c r="A6" s="30">
        <v>0.070331</v>
      </c>
      <c r="B6" s="31">
        <v>182.58926042029654</v>
      </c>
      <c r="C6" s="31">
        <v>198.21819813014665</v>
      </c>
      <c r="D6" s="31">
        <v>217.2780196896513</v>
      </c>
      <c r="E6" s="31">
        <v>241.04474745741376</v>
      </c>
      <c r="F6" s="31">
        <v>271.5167282994685</v>
      </c>
    </row>
    <row r="7" spans="1:6" x14ac:dyDescent="0.25">
      <c r="A7" s="30">
        <v>0.080331</v>
      </c>
      <c r="B7" s="31">
        <v>150.98112188925026</v>
      </c>
      <c r="C7" s="31">
        <v>161.49034512524136</v>
      </c>
      <c r="D7" s="32">
        <v>173.8856640819831</v>
      </c>
      <c r="E7" s="31">
        <v>188.72918632362612</v>
      </c>
      <c r="F7" s="31">
        <v>206.83102081034153</v>
      </c>
    </row>
    <row r="8" spans="1:6" x14ac:dyDescent="0.25">
      <c r="A8" s="30">
        <v>0.090331</v>
      </c>
      <c r="B8" s="31">
        <v>127.82447084945073</v>
      </c>
      <c r="C8" s="31">
        <v>135.2674803782542</v>
      </c>
      <c r="D8" s="31">
        <v>143.83900749100397</v>
      </c>
      <c r="E8" s="31">
        <v>153.8196337089613</v>
      </c>
      <c r="F8" s="31">
        <v>165.59135983778845</v>
      </c>
    </row>
    <row r="9" spans="1:6" x14ac:dyDescent="0.25">
      <c r="A9" s="30">
        <v>0.100331</v>
      </c>
      <c r="B9" s="31">
        <v>110.1450248100582</v>
      </c>
      <c r="C9" s="31">
        <v>115.62345372907997</v>
      </c>
      <c r="D9" s="31">
        <v>121.82017484271852</v>
      </c>
      <c r="E9" s="31">
        <v>128.8883835117573</v>
      </c>
      <c r="F9" s="31">
        <v>137.02817331093104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254248000000</v>
      </c>
      <c r="C5" s="18">
        <v>222578000000</v>
      </c>
      <c r="D5" s="18">
        <v>226827000000</v>
      </c>
      <c r="E5" s="18">
        <v>204979000000</v>
      </c>
      <c r="F5" s="8" t="s">
        <v>84</v>
      </c>
    </row>
    <row r="6" spans="1:6" x14ac:dyDescent="0.25">
      <c r="A6" t="s">
        <v>44</v>
      </c>
      <c r="B6" s="18">
        <v>3173000000</v>
      </c>
      <c r="C6" s="18">
        <v>2322000000</v>
      </c>
      <c r="D6" s="18">
        <v>2130000000</v>
      </c>
      <c r="E6" s="18">
        <v>1789000000</v>
      </c>
      <c r="F6" s="8" t="s">
        <v>85</v>
      </c>
    </row>
    <row r="7" spans="1:6" x14ac:dyDescent="0.25">
      <c r="A7" t="s">
        <v>86</v>
      </c>
      <c r="B7" s="18">
        <v>956000000</v>
      </c>
      <c r="C7" s="18">
        <v>790000000</v>
      </c>
      <c r="D7" s="18">
        <v>710000000</v>
      </c>
      <c r="E7" s="18">
        <v>692000000</v>
      </c>
      <c r="F7" s="8" t="s">
        <v>87</v>
      </c>
    </row>
    <row r="8" spans="1:6" x14ac:dyDescent="0.25">
      <c r="A8" t="s">
        <v>88</v>
      </c>
      <c r="B8" s="18">
        <v>649000000</v>
      </c>
      <c r="C8" s="18">
        <v>547000000</v>
      </c>
      <c r="D8" s="18">
        <v>511000000</v>
      </c>
      <c r="E8" s="18">
        <v>481000000</v>
      </c>
      <c r="F8" s="8" t="s">
        <v>89</v>
      </c>
    </row>
    <row r="9" spans="1:6" x14ac:dyDescent="0.25">
      <c r="A9" t="s">
        <v>90</v>
      </c>
      <c r="B9" s="18">
        <v>-1661000000</v>
      </c>
      <c r="C9" s="18">
        <v>523000000</v>
      </c>
      <c r="D9" s="18">
        <v>-1510000000</v>
      </c>
      <c r="E9" s="18">
        <v>-457000000</v>
      </c>
      <c r="F9" s="8" t="s">
        <v>91</v>
      </c>
    </row>
    <row r="10" spans="1:6" x14ac:dyDescent="0.25">
      <c r="A10" t="s">
        <v>92</v>
      </c>
      <c r="B10" s="18">
        <v>8886000000</v>
      </c>
      <c r="C10" s="18">
        <v>8527000000</v>
      </c>
      <c r="D10" s="18">
        <v>5092000000</v>
      </c>
      <c r="E10" s="18">
        <v>4701000000</v>
      </c>
      <c r="F10" s="8" t="s">
        <v>93</v>
      </c>
    </row>
    <row r="11" spans="1:6" x14ac:dyDescent="0.25">
      <c r="A11" t="s">
        <v>94</v>
      </c>
      <c r="B11" s="18">
        <v>4856000000</v>
      </c>
      <c r="C11" s="18">
        <v>3874000000</v>
      </c>
      <c r="D11" s="18">
        <v>5133000000</v>
      </c>
      <c r="E11" s="18">
        <v>4076000000</v>
      </c>
      <c r="F11" s="8" t="s">
        <v>95</v>
      </c>
    </row>
    <row r="12" spans="1:6" x14ac:dyDescent="0.25">
      <c r="A12" t="s">
        <v>32</v>
      </c>
      <c r="B12" s="34">
        <v>237000000</v>
      </c>
      <c r="C12" s="34">
        <v>242000000</v>
      </c>
      <c r="D12" s="34">
        <v>247000000</v>
      </c>
      <c r="E12" s="34">
        <v>262000000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2026-09-19T00:07:47Z</dcterms:modified>
</cp:coreProperties>
</file>