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<sst xmlns="http://schemas.openxmlformats.org/spreadsheetml/2006/main" count="112" uniqueCount="100">
  <si>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CAR Group Limited (CAR.AX)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</si>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</sst>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0.17068197782310013</v>
      </c>
    </row>
    <row r="7" spans="1:2" x14ac:dyDescent="0.25">
      <c r="A7" t="s">
        <v>5</v>
      </c>
      <c r="B7" s="6">
        <v>0.37878892305496004</v>
      </c>
    </row>
    <row r="8" spans="1:2" x14ac:dyDescent="0.25">
      <c r="A8" t="s">
        <v>6</v>
      </c>
      <c r="B8" s="6">
        <v>0.21605589921056506</v>
      </c>
    </row>
    <row r="9" spans="1:2" x14ac:dyDescent="0.25">
      <c r="A9" t="s">
        <v>7</v>
      </c>
      <c r="B9" s="6">
        <v>0.1426157522455298</v>
      </c>
    </row>
    <row r="10" spans="1:2" x14ac:dyDescent="0.25">
      <c r="A10" t="s">
        <v>8</v>
      </c>
      <c r="B10" s="6">
        <v>0.10431590389767419</v>
      </c>
    </row>
    <row r="11" spans="1:2" x14ac:dyDescent="0.25">
      <c r="A11" t="s">
        <v>9</v>
      </c>
      <c r="B11" s="6">
        <v>0.05046174973542307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15.114984895147234</v>
      </c>
    </row>
    <row r="14" spans="1:3" x14ac:dyDescent="0.25">
      <c r="A14" t="s">
        <v>12</v>
      </c>
      <c r="B14" s="6">
        <v>0.09566835926897976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0.866</v>
      </c>
      <c r="C19" s="8" t="s">
        <v>19</v>
      </c>
    </row>
    <row r="20" spans="1:2" x14ac:dyDescent="0.25">
      <c r="A20" t="s">
        <v>20</v>
      </c>
      <c r="B20" s="10">
        <f>B17+B19*B18</f>
        <v>0.10544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8809593856</v>
      </c>
    </row>
    <row r="23" spans="1:2" x14ac:dyDescent="0.25">
      <c r="A23" t="s">
        <v>24</v>
      </c>
      <c r="B23" s="11">
        <v>1601774000</v>
      </c>
    </row>
    <row r="24" spans="1:2" x14ac:dyDescent="0.25">
      <c r="A24" t="s">
        <v>25</v>
      </c>
      <c r="B24" s="10">
        <f>B22/(B22+B23)</f>
        <v>0.8461514354161535</v>
      </c>
    </row>
    <row r="25" spans="1:2" x14ac:dyDescent="0.25">
      <c r="A25" t="s">
        <v>26</v>
      </c>
      <c r="B25" s="10">
        <f>1-B24</f>
        <v>0.15384856458384655</v>
      </c>
    </row>
    <row r="26" spans="1:2" x14ac:dyDescent="0.25">
      <c r="A26" t="s">
        <v>27</v>
      </c>
      <c r="B26" s="12">
        <f>B24*B20+B25*B21*(1-B8)</f>
        <v>0.09566835926897976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1253427000</v>
      </c>
      <c r="C29" s="8" t="s">
        <v>30</v>
      </c>
    </row>
    <row r="30" spans="1:2" x14ac:dyDescent="0.25">
      <c r="A30" t="s">
        <v>31</v>
      </c>
      <c r="B30" s="11">
        <v>1276167000</v>
      </c>
    </row>
    <row r="31" spans="1:2" x14ac:dyDescent="0.25">
      <c r="A31" t="s">
        <v>32</v>
      </c>
      <c r="B31" s="13">
        <v>378858647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0.17068197782310013</v>
      </c>
      <c r="C5" s="10">
        <f>Assumptions!B6</f>
        <v>0.17068197782310013</v>
      </c>
      <c r="D5" s="10">
        <f>Assumptions!B6</f>
        <v>0.17068197782310013</v>
      </c>
      <c r="E5" s="10">
        <f>Assumptions!B6</f>
        <v>0.17068197782310013</v>
      </c>
      <c r="F5" s="10">
        <f>Assumptions!B6</f>
        <v>0.17068197782310013</v>
      </c>
    </row>
    <row r="6" spans="1:6" x14ac:dyDescent="0.25">
      <c r="A6" t="s">
        <v>43</v>
      </c>
      <c r="B6" s="18">
        <f>Assumptions!B29*(1+B5)</f>
        <v>1467364399.416875</v>
      </c>
      <c r="C6" s="18">
        <f>B6*(1+C5)</f>
        <v>1717817057.2965527</v>
      </c>
      <c r="D6" s="18">
        <f>C6*(1+D5)</f>
        <v>2011017470.174186</v>
      </c>
      <c r="E6" s="18">
        <f>D6*(1+E5)</f>
        <v>2354261909.4203234</v>
      </c>
      <c r="F6" s="18">
        <f>E6*(1+F5)</f>
        <v>2756091988.4337726</v>
      </c>
    </row>
    <row r="7" spans="1:6" x14ac:dyDescent="0.25">
      <c r="A7" t="s">
        <v>5</v>
      </c>
      <c r="B7" s="10">
        <f>Assumptions!B7</f>
        <v>0.37878892305496004</v>
      </c>
      <c r="C7" s="10">
        <f>Assumptions!B7</f>
        <v>0.37878892305496004</v>
      </c>
      <c r="D7" s="10">
        <f>Assumptions!B7</f>
        <v>0.37878892305496004</v>
      </c>
      <c r="E7" s="10">
        <f>Assumptions!B7</f>
        <v>0.37878892305496004</v>
      </c>
      <c r="F7" s="10">
        <f>Assumptions!B7</f>
        <v>0.37878892305496004</v>
      </c>
    </row>
    <row r="8" spans="1:6" x14ac:dyDescent="0.25">
      <c r="A8" t="s">
        <v>44</v>
      </c>
      <c r="B8" s="18">
        <f>B6*B7</f>
        <v>555821380.5843062</v>
      </c>
      <c r="C8" s="18">
        <f>C6*C7</f>
        <v>650690073.1388018</v>
      </c>
      <c r="D8" s="18">
        <f>D6*D7</f>
        <v>761751141.7719902</v>
      </c>
      <c r="E8" s="18">
        <f>E6*E7</f>
        <v>891768333.2586381</v>
      </c>
      <c r="F8" s="18">
        <f>F6*F7</f>
        <v>1043977116.139232</v>
      </c>
    </row>
    <row r="9" spans="1:6" x14ac:dyDescent="0.25">
      <c r="A9" t="s">
        <v>45</v>
      </c>
      <c r="B9" s="18">
        <f>B8*(1-Assumptions!B8)</f>
        <v>435732892.4017063</v>
      </c>
      <c r="C9" s="18">
        <f>C8*(1-Assumptions!B8)</f>
        <v>510104644.27940965</v>
      </c>
      <c r="D9" s="18">
        <f>D8*(1-Assumptions!B8)</f>
        <v>597170313.8617682</v>
      </c>
      <c r="E9" s="18">
        <f>E8*(1-Assumptions!B8)</f>
        <v>699096524.1289363</v>
      </c>
      <c r="F9" s="18">
        <f>F8*(1-Assumptions!B8)</f>
        <v>818419701.5565178</v>
      </c>
    </row>
    <row r="10" spans="1:6" x14ac:dyDescent="0.25">
      <c r="A10" t="s">
        <v>46</v>
      </c>
      <c r="B10" s="18">
        <f>B6*Assumptions!B9</f>
        <v>209269277.64114767</v>
      </c>
      <c r="C10" s="18">
        <f>C6*Assumptions!B9</f>
        <v>244987771.84655023</v>
      </c>
      <c r="D10" s="18">
        <f>D6*Assumptions!B9</f>
        <v>286802769.2877938</v>
      </c>
      <c r="E10" s="18">
        <f>E6*Assumptions!B9</f>
        <v>335754833.19497675</v>
      </c>
      <c r="F10" s="18">
        <f>F6*Assumptions!B9</f>
        <v>393062132.1883605</v>
      </c>
    </row>
    <row r="11" spans="1:6" x14ac:dyDescent="0.25">
      <c r="A11" t="s">
        <v>47</v>
      </c>
      <c r="B11" s="18">
        <f>-B6*Assumptions!B10</f>
        <v>-153069443.67243913</v>
      </c>
      <c r="C11" s="18">
        <f>-C6*Assumptions!B10</f>
        <v>-179195639.06273267</v>
      </c>
      <c r="D11" s="18">
        <f>-D6*Assumptions!B10</f>
        <v>-209781105.15523425</v>
      </c>
      <c r="E11" s="18">
        <f>-E6*Assumptions!B10</f>
        <v>-245586959.09304538</v>
      </c>
      <c r="F11" s="18">
        <f>-F6*Assumptions!B10</f>
        <v>-287504226.99860716</v>
      </c>
    </row>
    <row r="12" spans="1:6" x14ac:dyDescent="0.25">
      <c r="A12" t="s">
        <v>48</v>
      </c>
      <c r="B12" s="18">
        <f>-(B6-Assumptions!B29)*Assumptions!B11</f>
        <v>-10795655.508421585</v>
      </c>
      <c r="C12" s="18">
        <f>-(C6-B6)*Assumptions!B11</f>
        <v>-12638279.342495834</v>
      </c>
      <c r="D12" s="18">
        <f>-(D6-C6)*Assumptions!B11</f>
        <v>-14795405.856953848</v>
      </c>
      <c r="E12" s="18">
        <f>-(E6-D6)*Assumptions!B11</f>
        <v>-17320714.991314214</v>
      </c>
      <c r="F12" s="18">
        <f>-(F6-E6)*Assumptions!B11</f>
        <v>-20277048.88334195</v>
      </c>
    </row>
    <row r="13" spans="1:6" x14ac:dyDescent="0.25">
      <c r="A13" s="19" t="s">
        <v>49</v>
      </c>
      <c r="B13" s="20">
        <f>B9+B10+B11+B12</f>
        <v>481137070.86199325</v>
      </c>
      <c r="C13" s="20">
        <f>C9+C10+C11+C12</f>
        <v>563258497.7207314</v>
      </c>
      <c r="D13" s="20">
        <f>D9+D10+D11+D12</f>
        <v>659396572.137374</v>
      </c>
      <c r="E13" s="20">
        <f>E9+E10+E11+E12</f>
        <v>771943683.2395536</v>
      </c>
      <c r="F13" s="20">
        <f>F9+F10+F11+F12</f>
        <v>903700557.8629292</v>
      </c>
    </row>
    <row r="14" spans="1:6" x14ac:dyDescent="0.25">
      <c r="A14" t="s">
        <v>50</v>
      </c>
      <c r="B14" s="21">
        <f>1/(1+Assumptions!$B$26)^(1-0.5*Assumptions!$B$32)</f>
        <v>0.9553454507131942</v>
      </c>
      <c r="C14" s="21">
        <f>1/(1+Assumptions!$B$26)^(2-0.5*Assumptions!$B$32)</f>
        <v>0.8719293959995269</v>
      </c>
      <c r="D14" s="21">
        <f>1/(1+Assumptions!$B$26)^(3-0.5*Assumptions!$B$32)</f>
        <v>0.7957968199257579</v>
      </c>
      <c r="E14" s="21">
        <f>1/(1+Assumptions!$B$26)^(4-0.5*Assumptions!$B$32)</f>
        <v>0.726311765046046</v>
      </c>
      <c r="F14" s="21">
        <f>1/(1+Assumptions!$B$26)^(5-0.5*Assumptions!$B$32)</f>
        <v>0.6628938025833243</v>
      </c>
    </row>
    <row r="15" spans="1:6" x14ac:dyDescent="0.25">
      <c r="A15" s="19" t="s">
        <v>51</v>
      </c>
      <c r="B15" s="20">
        <f>B13*B14</f>
        <v>459652111.817477</v>
      </c>
      <c r="C15" s="20">
        <f>C13*C14</f>
        <v>491121641.70923823</v>
      </c>
      <c r="D15" s="20">
        <f>D13*D14</f>
        <v>524745695.1768679</v>
      </c>
      <c r="E15" s="20">
        <f>E13*E14</f>
        <v>560671779.089866</v>
      </c>
      <c r="F15" s="20">
        <f>F13*F14</f>
        <v>599057499.1984286</v>
      </c>
    </row>
    <row r="17" spans="1:2" x14ac:dyDescent="0.25">
      <c r="A17" s="22" t="s">
        <v>52</v>
      </c>
      <c r="B17" s="23">
        <f>SUM(B15:F15)</f>
        <v>2635248726.991878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903700557.8629292</v>
      </c>
    </row>
    <row r="5" spans="1:2" x14ac:dyDescent="0.25">
      <c r="A5" t="s">
        <v>56</v>
      </c>
      <c r="B5" s="18">
        <f>IF(Assumptions!$B$33=0,B4,B4-Forecast!F11-Forecast!F10-Forecast!F12)</f>
        <v>818419701.5565178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0.2613194183639166</v>
      </c>
    </row>
    <row r="7" spans="1:2" x14ac:dyDescent="0.25">
      <c r="A7" t="s">
        <v>58</v>
      </c>
      <c r="B7" s="18">
        <f>-MAX(Forecast!F9,0)*B6</f>
        <v>-213868960.38831943</v>
      </c>
    </row>
    <row r="8" spans="1:2" x14ac:dyDescent="0.25">
      <c r="A8" t="s">
        <v>59</v>
      </c>
      <c r="B8" s="18">
        <f>IF(OR(Assumptions!$B$33=0,Assumptions!B12&lt;=0),B5,MAX(B5+B7,0))</f>
        <v>604550741.1681983</v>
      </c>
    </row>
    <row r="9" spans="1:2" x14ac:dyDescent="0.25">
      <c r="A9" t="s">
        <v>60</v>
      </c>
      <c r="B9" s="18">
        <f>B8*(1+Assumptions!B12)/(Assumptions!B26-Assumptions!B12)</f>
        <v>8768627375.921095</v>
      </c>
    </row>
    <row r="10" spans="1:2" x14ac:dyDescent="0.25">
      <c r="A10" t="s">
        <v>61</v>
      </c>
      <c r="B10" s="18">
        <f>B9/(1+Assumptions!B26)^(5-0.5*Assumptions!B32)</f>
        <v>5812668744.660571</v>
      </c>
    </row>
    <row r="11" spans="1:2" x14ac:dyDescent="0.25">
      <c r="A11" t="s">
        <v>62</v>
      </c>
      <c r="B11" s="18">
        <f>Forecast!B17+B10</f>
        <v>8447917471.652449</v>
      </c>
    </row>
    <row r="12" spans="1:2" x14ac:dyDescent="0.25">
      <c r="A12" t="s">
        <v>63</v>
      </c>
      <c r="B12" s="18">
        <f>-Assumptions!B30</f>
        <v>-1276167000</v>
      </c>
    </row>
    <row r="13" spans="1:2" x14ac:dyDescent="0.25">
      <c r="A13" t="s">
        <v>64</v>
      </c>
      <c r="B13" s="18">
        <f>B11+B12</f>
        <v>7171750471.652449</v>
      </c>
    </row>
    <row r="14" spans="1:2" x14ac:dyDescent="0.25">
      <c r="A14" s="19" t="s">
        <v>65</v>
      </c>
      <c r="B14" s="24">
        <f>B13/Assumptions!B31</f>
        <v>18.92988461116594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1437039248.3275926</v>
      </c>
    </row>
    <row r="18" spans="1:2" x14ac:dyDescent="0.25">
      <c r="A18" t="s">
        <v>60</v>
      </c>
      <c r="B18" s="18">
        <f>B17*Assumptions!B13</f>
        <v>21720826532.2053</v>
      </c>
    </row>
    <row r="19" spans="1:2" x14ac:dyDescent="0.25">
      <c r="A19" t="s">
        <v>61</v>
      </c>
      <c r="B19" s="18">
        <f>B18/(1+Assumptions!B26)^(5-0.5*Assumptions!B32)</f>
        <v>14398601295.186333</v>
      </c>
    </row>
    <row r="20" spans="1:2" x14ac:dyDescent="0.25">
      <c r="A20" t="s">
        <v>62</v>
      </c>
      <c r="B20" s="18">
        <f>Forecast!B17+B19</f>
        <v>17033850022.178211</v>
      </c>
    </row>
    <row r="21" spans="1:2" x14ac:dyDescent="0.25">
      <c r="A21" t="s">
        <v>63</v>
      </c>
      <c r="B21" s="18">
        <f>-Assumptions!B30</f>
        <v>-1276167000</v>
      </c>
    </row>
    <row r="22" spans="1:2" x14ac:dyDescent="0.25">
      <c r="A22" t="s">
        <v>64</v>
      </c>
      <c r="B22" s="18">
        <f>B20+B21</f>
        <v>15757683022.178211</v>
      </c>
    </row>
    <row r="23" spans="1:2" x14ac:dyDescent="0.25">
      <c r="A23" s="19" t="s">
        <v>65</v>
      </c>
      <c r="B23" s="25">
        <f>B22/Assumptions!B31</f>
        <v>41.59251252929226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18.92988461116594</v>
      </c>
    </row>
    <row r="29" spans="1:2" x14ac:dyDescent="0.25">
      <c r="A29" s="19" t="s">
        <v>73</v>
      </c>
      <c r="B29" s="12">
        <f>B28/B26-1</f>
        <v>-0.18546107525103528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0.075668</v>
      </c>
      <c r="B5" s="31">
        <v>25.033983814906456</v>
      </c>
      <c r="C5" s="31">
        <v>25.242486636978338</v>
      </c>
      <c r="D5" s="31">
        <v>25.4727538468998</v>
      </c>
      <c r="E5" s="31">
        <v>25.73193412247029</v>
      </c>
      <c r="F5" s="31">
        <v>26.030691769402775</v>
      </c>
    </row>
    <row r="6" spans="1:6" x14ac:dyDescent="0.25">
      <c r="A6" s="30">
        <v>0.085668</v>
      </c>
      <c r="B6" s="31">
        <v>21.438932703105554</v>
      </c>
      <c r="C6" s="31">
        <v>21.526031785645355</v>
      </c>
      <c r="D6" s="31">
        <v>21.613130868185152</v>
      </c>
      <c r="E6" s="31">
        <v>21.70022995072495</v>
      </c>
      <c r="F6" s="31">
        <v>21.787329033264744</v>
      </c>
    </row>
    <row r="7" spans="1:6" x14ac:dyDescent="0.25">
      <c r="A7" s="30">
        <v>0.095668</v>
      </c>
      <c r="B7" s="31">
        <v>18.780286389407078</v>
      </c>
      <c r="C7" s="31">
        <v>18.855128629978886</v>
      </c>
      <c r="D7" s="32">
        <v>18.929970870550697</v>
      </c>
      <c r="E7" s="31">
        <v>19.00481311112251</v>
      </c>
      <c r="F7" s="31">
        <v>19.079655351694317</v>
      </c>
    </row>
    <row r="8" spans="1:6" x14ac:dyDescent="0.25">
      <c r="A8" s="30">
        <v>0.105668</v>
      </c>
      <c r="B8" s="31">
        <v>16.627636944561676</v>
      </c>
      <c r="C8" s="31">
        <v>16.692681965224434</v>
      </c>
      <c r="D8" s="31">
        <v>16.75772698588719</v>
      </c>
      <c r="E8" s="31">
        <v>16.82277200654994</v>
      </c>
      <c r="F8" s="31">
        <v>16.887817027212698</v>
      </c>
    </row>
    <row r="9" spans="1:6" x14ac:dyDescent="0.25">
      <c r="A9" s="30">
        <v>0.115668</v>
      </c>
      <c r="B9" s="31">
        <v>14.84966075730697</v>
      </c>
      <c r="C9" s="31">
        <v>14.906722923529628</v>
      </c>
      <c r="D9" s="31">
        <v>14.963785089752289</v>
      </c>
      <c r="E9" s="31">
        <v>15.020847255974942</v>
      </c>
      <c r="F9" s="31">
        <v>15.077909422197598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1253427000</v>
      </c>
      <c r="C5" s="18">
        <v>1183856000</v>
      </c>
      <c r="D5" s="18">
        <v>1098724000</v>
      </c>
      <c r="E5" s="18">
        <v>781236000</v>
      </c>
      <c r="F5" s="8" t="s">
        <v>84</v>
      </c>
    </row>
    <row r="6" spans="1:6" x14ac:dyDescent="0.25">
      <c r="A6" t="s">
        <v>44</v>
      </c>
      <c r="B6" s="18">
        <v>481917000</v>
      </c>
      <c r="C6" s="18">
        <v>448945000</v>
      </c>
      <c r="D6" s="18">
        <v>413082000</v>
      </c>
      <c r="E6" s="18">
        <v>293345000</v>
      </c>
      <c r="F6" s="8" t="s">
        <v>85</v>
      </c>
    </row>
    <row r="7" spans="1:6" x14ac:dyDescent="0.25">
      <c r="A7" t="s">
        <v>86</v>
      </c>
      <c r="B7" s="18">
        <v>185352000</v>
      </c>
      <c r="C7" s="18">
        <v>171309000</v>
      </c>
      <c r="D7" s="18">
        <v>154807000</v>
      </c>
      <c r="E7" s="18">
        <v>107018000</v>
      </c>
      <c r="F7" s="8" t="s">
        <v>87</v>
      </c>
    </row>
    <row r="8" spans="1:6" x14ac:dyDescent="0.25">
      <c r="A8" t="s">
        <v>88</v>
      </c>
      <c r="B8" s="18">
        <v>141393000</v>
      </c>
      <c r="C8" s="18">
        <v>118907000</v>
      </c>
      <c r="D8" s="18">
        <v>101795000</v>
      </c>
      <c r="E8" s="18">
        <v>87006000</v>
      </c>
      <c r="F8" s="8" t="s">
        <v>89</v>
      </c>
    </row>
    <row r="9" spans="1:6" x14ac:dyDescent="0.25">
      <c r="A9" t="s">
        <v>90</v>
      </c>
      <c r="B9" s="18">
        <v>1333000</v>
      </c>
      <c r="C9" s="18">
        <v>16190000</v>
      </c>
      <c r="D9" s="18">
        <v>16021000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1601774000</v>
      </c>
      <c r="C10" s="18">
        <v>1412072000</v>
      </c>
      <c r="D10" s="18">
        <v>1338207000</v>
      </c>
      <c r="E10" s="18">
        <v>1242569000</v>
      </c>
      <c r="F10" s="8" t="s">
        <v>93</v>
      </c>
    </row>
    <row r="11" spans="1:6" x14ac:dyDescent="0.25">
      <c r="A11" t="s">
        <v>94</v>
      </c>
      <c r="B11" s="18">
        <v>325607000</v>
      </c>
      <c r="C11" s="18">
        <v>289327000</v>
      </c>
      <c r="D11" s="18">
        <v>308309000</v>
      </c>
      <c r="E11" s="18">
        <v>198709000</v>
      </c>
      <c r="F11" s="8" t="s">
        <v>95</v>
      </c>
    </row>
    <row r="12" spans="1:6" x14ac:dyDescent="0.25">
      <c r="A12" t="s">
        <v>32</v>
      </c>
      <c r="B12" s="34">
        <v>378858647</v>
      </c>
      <c r="C12" s="34">
        <v>378418956</v>
      </c>
      <c r="D12" s="34">
        <v>377601208</v>
      </c>
      <c r="E12" s="34">
        <v>356497515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