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<sst xmlns="http://schemas.openxmlformats.org/spreadsheetml/2006/main" count="119" uniqueCount="106">
  <si>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Carrier Global Corporation (CARR)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</si>
  <si>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</si>
  <si>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</si>
  <si>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</si>
  <si>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</si>
  <si>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</si>
  <si>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</si>
  <si>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</si>
  <si>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</si>
  <si>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</si>
  <si>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</si>
  <si>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</si>
  <si>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</si>
  <si>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</si>
  <si>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</si>
  <si>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</si>
  <si>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</si>
  <si>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</si>
  <si>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</si>
  <si>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</si>
  <si>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</si>
  <si>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</si>
  <si>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</si>
  <si>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</si>
  <si>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4.2x interest cover. Book interest / average debt was lower, at 3.7%.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</si>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</sst>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0.0916903531521589</v>
      </c>
    </row>
    <row r="7" spans="1:2" x14ac:dyDescent="0.25">
      <c r="A7" t="s">
        <v>4</v>
      </c>
      <c r="B7" s="5">
        <v>0.09998346892716792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0.03956351518934546</v>
      </c>
    </row>
    <row r="10" spans="1:3" x14ac:dyDescent="0.25">
      <c r="A10" t="s">
        <v>7</v>
      </c>
      <c r="B10" s="5">
        <v>0.020651981445888222</v>
      </c>
      <c r="C10" s="6" t="s">
        <v>8</v>
      </c>
    </row>
    <row r="11" spans="1:2" x14ac:dyDescent="0.25">
      <c r="A11" t="s">
        <v>9</v>
      </c>
      <c r="B11" s="5">
        <v>0.1110521148864346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17.552309155611443</v>
      </c>
    </row>
    <row r="14" spans="1:3" x14ac:dyDescent="0.25">
      <c r="A14" t="s">
        <v>12</v>
      </c>
      <c r="B14" s="5">
        <v>0.0889399441259094</v>
      </c>
      <c r="C14" s="6" t="s">
        <v>13</v>
      </c>
    </row>
    <row r="15" spans="1:3" x14ac:dyDescent="0.25">
      <c r="A15" t="s">
        <v>14</v>
      </c>
      <c r="B15" s="5">
        <v>0.015303009404854982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1.2231100000000001</v>
      </c>
      <c r="C19" s="6" t="s">
        <v>21</v>
      </c>
    </row>
    <row r="20" spans="1:2" x14ac:dyDescent="0.25">
      <c r="A20" t="s">
        <v>22</v>
      </c>
      <c r="B20" s="9">
        <f>B17+B19*B18</f>
        <v>0.100677553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45137895424</v>
      </c>
    </row>
    <row r="23" spans="1:2" x14ac:dyDescent="0.25">
      <c r="A23" t="s">
        <v>26</v>
      </c>
      <c r="B23" s="10">
        <v>12251000000</v>
      </c>
    </row>
    <row r="24" spans="1:2" x14ac:dyDescent="0.25">
      <c r="A24" t="s">
        <v>27</v>
      </c>
      <c r="B24" s="9">
        <f>B22/(B22+B23)</f>
        <v>0.7865266457999008</v>
      </c>
    </row>
    <row r="25" spans="1:2" x14ac:dyDescent="0.25">
      <c r="A25" t="s">
        <v>28</v>
      </c>
      <c r="B25" s="9">
        <f>1-B24</f>
        <v>0.21347335420009916</v>
      </c>
    </row>
    <row r="26" spans="1:2" x14ac:dyDescent="0.25">
      <c r="A26" t="s">
        <v>29</v>
      </c>
      <c r="B26" s="11">
        <f>B24*B20+B25*B21*(1-B8)</f>
        <v>0.0889399441259094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21747000000</v>
      </c>
      <c r="C29" s="6" t="s">
        <v>32</v>
      </c>
    </row>
    <row r="30" spans="1:2" x14ac:dyDescent="0.25">
      <c r="A30" t="s">
        <v>33</v>
      </c>
      <c r="B30" s="10">
        <v>10696000000</v>
      </c>
    </row>
    <row r="31" spans="1:2" x14ac:dyDescent="0.25">
      <c r="A31" t="s">
        <v>34</v>
      </c>
      <c r="B31" s="12">
        <v>862400000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0.0916903531521589</v>
      </c>
      <c r="C5" s="5">
        <v>0.06188116852722114</v>
      </c>
      <c r="D5" s="5">
        <v>0.0572710224613185</v>
      </c>
      <c r="E5" s="5">
        <v>0.052660876395415855</v>
      </c>
      <c r="F5" s="5">
        <v>0.048050730329513215</v>
      </c>
      <c r="G5" s="5">
        <v>0.04344058426361057</v>
      </c>
      <c r="H5" s="5">
        <v>0.03883043819770793</v>
      </c>
      <c r="I5" s="5">
        <v>0.03422029213180529</v>
      </c>
      <c r="J5" s="5">
        <v>0.02961014606590264</v>
      </c>
      <c r="K5" s="5">
        <v>0.025</v>
      </c>
    </row>
    <row r="6" spans="1:11" x14ac:dyDescent="0.25">
      <c r="A6" t="s">
        <v>50</v>
      </c>
      <c r="B6" s="18">
        <f>Assumptions!B29*(1+B5)</f>
        <v>23740990110</v>
      </c>
      <c r="C6" s="18">
        <f>B6*(1+C5)</f>
        <v>25210110320</v>
      </c>
      <c r="D6" s="18">
        <f>C6*(1+D5)</f>
        <v>26653919114.389034</v>
      </c>
      <c r="E6" s="18">
        <f>D6*(1+E5)</f>
        <v>28057537854.32529</v>
      </c>
      <c r="F6" s="18">
        <f>E6*(1+F5)</f>
        <v>29405723039.473583</v>
      </c>
      <c r="G6" s="18">
        <f>F6*(1+G5)</f>
        <v>30683124829.002228</v>
      </c>
      <c r="H6" s="18">
        <f>G6*(1+H5)</f>
        <v>31874564011.387352</v>
      </c>
      <c r="I6" s="18">
        <f>H6*(1+I5)</f>
        <v>32965320903.430958</v>
      </c>
      <c r="J6" s="18">
        <f>I6*(1+J5)</f>
        <v>33941428870.490902</v>
      </c>
      <c r="K6" s="18">
        <f>J6*(1+K5)</f>
        <v>34789964592.253174</v>
      </c>
    </row>
    <row r="7" spans="1:11" x14ac:dyDescent="0.25">
      <c r="A7" t="s">
        <v>4</v>
      </c>
      <c r="B7" s="9">
        <f>Assumptions!B7</f>
        <v>0.09998346892716792</v>
      </c>
      <c r="C7" s="9">
        <f>Assumptions!B7</f>
        <v>0.09998346892716792</v>
      </c>
      <c r="D7" s="9">
        <f>Assumptions!B7</f>
        <v>0.09998346892716792</v>
      </c>
      <c r="E7" s="9">
        <f>Assumptions!B7</f>
        <v>0.09998346892716792</v>
      </c>
      <c r="F7" s="9">
        <f>Assumptions!B7</f>
        <v>0.09998346892716792</v>
      </c>
      <c r="G7" s="9">
        <f>Assumptions!B7</f>
        <v>0.09998346892716792</v>
      </c>
      <c r="H7" s="9">
        <f>Assumptions!B7</f>
        <v>0.09998346892716792</v>
      </c>
      <c r="I7" s="9">
        <f>Assumptions!B7</f>
        <v>0.09998346892716792</v>
      </c>
      <c r="J7" s="9">
        <f>Assumptions!B7</f>
        <v>0.09998346892716792</v>
      </c>
      <c r="K7" s="9">
        <f>Assumptions!B7</f>
        <v>0.09998346892716792</v>
      </c>
    </row>
    <row r="8" spans="1:11" x14ac:dyDescent="0.25">
      <c r="A8" t="s">
        <v>51</v>
      </c>
      <c r="B8" s="18">
        <f>B6*B7</f>
        <v>2373706546.963386</v>
      </c>
      <c r="C8" s="18">
        <f>C6*C7</f>
        <v>2520594281.8301954</v>
      </c>
      <c r="D8" s="18">
        <f>D6*D7</f>
        <v>2664951293.560763</v>
      </c>
      <c r="E8" s="18">
        <f>E6*E7</f>
        <v>2805289964.23077</v>
      </c>
      <c r="F8" s="18">
        <f>F6*F7</f>
        <v>2940086195.798113</v>
      </c>
      <c r="G8" s="18">
        <f>G6*G7</f>
        <v>3067805257.928959</v>
      </c>
      <c r="H8" s="18">
        <f>H6*H7</f>
        <v>3186929480.399572</v>
      </c>
      <c r="I8" s="18">
        <f>I6*I7</f>
        <v>3295987138.222308</v>
      </c>
      <c r="J8" s="18">
        <f>J6*J7</f>
        <v>3393581798.816407</v>
      </c>
      <c r="K8" s="18">
        <f>K6*K7</f>
        <v>3478421343.786817</v>
      </c>
    </row>
    <row r="9" spans="1:11" x14ac:dyDescent="0.25">
      <c r="A9" t="s">
        <v>52</v>
      </c>
      <c r="B9" s="18">
        <f>B8*(1-Assumptions!B8)</f>
        <v>1875228172.1010752</v>
      </c>
      <c r="C9" s="18">
        <f>C8*(1-Assumptions!B8)</f>
        <v>1991269482.6458545</v>
      </c>
      <c r="D9" s="18">
        <f>D8*(1-Assumptions!B8)</f>
        <v>2105311521.9130027</v>
      </c>
      <c r="E9" s="18">
        <f>E8*(1-Assumptions!B8)</f>
        <v>2216179071.7423086</v>
      </c>
      <c r="F9" s="18">
        <f>F8*(1-Assumptions!B8)</f>
        <v>2322668094.680509</v>
      </c>
      <c r="G9" s="18">
        <f>G8*(1-Assumptions!B8)</f>
        <v>2423566153.763878</v>
      </c>
      <c r="H9" s="18">
        <f>H8*(1-Assumptions!B8)</f>
        <v>2517674289.5156617</v>
      </c>
      <c r="I9" s="18">
        <f>I8*(1-Assumptions!B8)</f>
        <v>2603829839.1956234</v>
      </c>
      <c r="J9" s="18">
        <f>J8*(1-Assumptions!B8)</f>
        <v>2680929621.064962</v>
      </c>
      <c r="K9" s="18">
        <f>K8*(1-Assumptions!B8)</f>
        <v>2747952861.5915856</v>
      </c>
    </row>
    <row r="10" spans="1:11" x14ac:dyDescent="0.25">
      <c r="A10" t="s">
        <v>53</v>
      </c>
      <c r="B10" s="18">
        <f>B6*Assumptions!B9</f>
        <v>939277022.8270854</v>
      </c>
      <c r="C10" s="18">
        <f>C6*Assumptions!B9</f>
        <v>997400582.5703949</v>
      </c>
      <c r="D10" s="18">
        <f>D6*Assumptions!B9</f>
        <v>1054522733.737716</v>
      </c>
      <c r="E10" s="18">
        <f>E6*Assumptions!B9</f>
        <v>1110054825.075234</v>
      </c>
      <c r="F10" s="18">
        <f>F6*Assumptions!B9</f>
        <v>1163393770.125899</v>
      </c>
      <c r="G10" s="18">
        <f>G6*Assumptions!B9</f>
        <v>1213932275.2288125</v>
      </c>
      <c r="H10" s="18">
        <f>H6*Assumptions!B9</f>
        <v>1261069797.4182878</v>
      </c>
      <c r="I10" s="18">
        <f>I6*Assumptions!B9</f>
        <v>1304223974.2845383</v>
      </c>
      <c r="J10" s="18">
        <f>J6*Assumptions!B9</f>
        <v>1342842236.6657555</v>
      </c>
      <c r="K10" s="18">
        <f>K6*Assumptions!B9</f>
        <v>1376413292.5823994</v>
      </c>
    </row>
    <row r="11" spans="1:11" x14ac:dyDescent="0.25">
      <c r="A11" t="s">
        <v>54</v>
      </c>
      <c r="B11" s="18">
        <f>-B6*B19</f>
        <v>-490298487.2587358</v>
      </c>
      <c r="C11" s="18">
        <f>-C6*C19</f>
        <v>-582937505.3566307</v>
      </c>
      <c r="D11" s="18">
        <f>-D6*D19</f>
        <v>-682189621.6283426</v>
      </c>
      <c r="E11" s="18">
        <f>-E6*E19</f>
        <v>-787449611.8643066</v>
      </c>
      <c r="F11" s="18">
        <f>-F6*F19</f>
        <v>-897954038.8780588</v>
      </c>
      <c r="G11" s="18">
        <f>-G6*G19</f>
        <v>-1012785277.5433815</v>
      </c>
      <c r="H11" s="18">
        <f>-H6*H19</f>
        <v>-1130880027.4929042</v>
      </c>
      <c r="I11" s="18">
        <f>-I6*I19</f>
        <v>-1251042385.1904569</v>
      </c>
      <c r="J11" s="18">
        <f>-J6*J19</f>
        <v>-1371961386.3320482</v>
      </c>
      <c r="K11" s="18">
        <f>-K6*K19</f>
        <v>-1492232760.7063532</v>
      </c>
    </row>
    <row r="12" spans="1:11" x14ac:dyDescent="0.25">
      <c r="A12" t="s">
        <v>55</v>
      </c>
      <c r="B12" s="18">
        <f>-(B6-Assumptions!B29)*Assumptions!B11</f>
        <v>-221436818.77813438</v>
      </c>
      <c r="C12" s="18">
        <f>-(C6-B6)*Assumptions!B11</f>
        <v>-163148906.34290293</v>
      </c>
      <c r="D12" s="18">
        <f>-(D6-C6)*Assumptions!B11</f>
        <v>-160338020.10853568</v>
      </c>
      <c r="E12" s="18">
        <f>-(E6-D6)*Assumptions!B11</f>
        <v>-155874829.5641537</v>
      </c>
      <c r="F12" s="18">
        <f>-(F6-E6)*Assumptions!B11</f>
        <v>-149718816.0692773</v>
      </c>
      <c r="G12" s="18">
        <f>-(G6-F6)*Assumptions!B11</f>
        <v>-141858170.28687218</v>
      </c>
      <c r="H12" s="18">
        <f>-(H6-G6)*Assumptions!B11</f>
        <v>-132311840.96243252</v>
      </c>
      <c r="I12" s="18">
        <f>-(I6-H6)*Assumptions!B11</f>
        <v>-121130859.68839686</v>
      </c>
      <c r="J12" s="18">
        <f>-(J6-I6)*Assumptions!B11</f>
        <v>-108398854.09950504</v>
      </c>
      <c r="K12" s="18">
        <f>-(K6-J6)*Assumptions!B11</f>
        <v>-94231686.45838752</v>
      </c>
    </row>
    <row r="13" spans="1:11" x14ac:dyDescent="0.25">
      <c r="A13" s="19" t="s">
        <v>56</v>
      </c>
      <c r="B13" s="20">
        <f>B9+B10+B11+B12</f>
        <v>2102769888.8912907</v>
      </c>
      <c r="C13" s="20">
        <f>C9+C10+C11+C12</f>
        <v>2242583653.5167155</v>
      </c>
      <c r="D13" s="20">
        <f>D9+D10+D11+D12</f>
        <v>2317306613.9138403</v>
      </c>
      <c r="E13" s="20">
        <f>E9+E10+E11+E12</f>
        <v>2382909455.3890824</v>
      </c>
      <c r="F13" s="20">
        <f>F9+F10+F11+F12</f>
        <v>2438389009.8590717</v>
      </c>
      <c r="G13" s="20">
        <f>G9+G10+G11+G12</f>
        <v>2482854981.162436</v>
      </c>
      <c r="H13" s="20">
        <f>H9+H10+H11+H12</f>
        <v>2515552218.478613</v>
      </c>
      <c r="I13" s="20">
        <f>I9+I10+I11+I12</f>
        <v>2535880568.601308</v>
      </c>
      <c r="J13" s="20">
        <f>J9+J10+J11+J12</f>
        <v>2543411617.2991643</v>
      </c>
      <c r="K13" s="20">
        <f>K9+K10+K11+K12</f>
        <v>2537901707.0092444</v>
      </c>
    </row>
    <row r="14" spans="1:11" x14ac:dyDescent="0.25">
      <c r="A14" t="s">
        <v>57</v>
      </c>
      <c r="B14" s="21">
        <f>1/(1+Assumptions!$B$26)^(1-0.5*Assumptions!$B$32)</f>
        <v>0.958292381814155</v>
      </c>
      <c r="C14" s="21">
        <f>1/(1+Assumptions!$B$26)^(2-0.5*Assumptions!$B$32)</f>
        <v>0.880023170224851</v>
      </c>
      <c r="D14" s="21">
        <f>1/(1+Assumptions!$B$26)^(3-0.5*Assumptions!$B$32)</f>
        <v>0.8081466521381439</v>
      </c>
      <c r="E14" s="21">
        <f>1/(1+Assumptions!$B$26)^(4-0.5*Assumptions!$B$32)</f>
        <v>0.7421406997672788</v>
      </c>
      <c r="F14" s="21">
        <f>1/(1+Assumptions!$B$26)^(5-0.5*Assumptions!$B$32)</f>
        <v>0.6815258304836951</v>
      </c>
      <c r="G14" s="21">
        <f>1/(1+Assumptions!$B$26)^(6-0.5*Assumptions!$B$32)</f>
        <v>0.6258617237434108</v>
      </c>
      <c r="H14" s="21">
        <f>1/(1+Assumptions!$B$26)^(7-0.5*Assumptions!$B$32)</f>
        <v>0.574744022495923</v>
      </c>
      <c r="I14" s="21">
        <f>1/(1+Assumptions!$B$26)^(8-0.5*Assumptions!$B$32)</f>
        <v>0.5278013958403089</v>
      </c>
      <c r="J14" s="21">
        <f>1/(1+Assumptions!$B$26)^(9-0.5*Assumptions!$B$32)</f>
        <v>0.48469284159097914</v>
      </c>
      <c r="K14" s="21">
        <f>1/(1+Assumptions!$B$26)^(10-0.5*Assumptions!$B$32)</f>
        <v>0.44510520915828966</v>
      </c>
    </row>
    <row r="15" spans="1:11" x14ac:dyDescent="0.25">
      <c r="A15" s="19" t="s">
        <v>58</v>
      </c>
      <c r="B15" s="20">
        <f>B13*B14</f>
        <v>2015068365.232721</v>
      </c>
      <c r="C15" s="20">
        <f>C13*C14</f>
        <v>1973525576.2622087</v>
      </c>
      <c r="D15" s="20">
        <f>D13*D14</f>
        <v>1872723582.0120482</v>
      </c>
      <c r="E15" s="20">
        <f>E13*E14</f>
        <v>1768454090.7045188</v>
      </c>
      <c r="F15" s="20">
        <f>F13*F14</f>
        <v>1661825094.9865189</v>
      </c>
      <c r="G15" s="20">
        <f>G13*G14</f>
        <v>1553923898.3152359</v>
      </c>
      <c r="H15" s="20">
        <f>H13*H14</f>
        <v>1445798600.846941</v>
      </c>
      <c r="I15" s="20">
        <f>I13*I14</f>
        <v>1338441303.7920866</v>
      </c>
      <c r="J15" s="20">
        <f>J13*J14</f>
        <v>1232773404.12424</v>
      </c>
      <c r="K15" s="20">
        <f>K13*K14</f>
        <v>1129633270.12153</v>
      </c>
    </row>
    <row r="17" spans="1:2" x14ac:dyDescent="0.25">
      <c r="A17" s="22" t="s">
        <v>59</v>
      </c>
      <c r="B17" s="23">
        <f>SUM(B15:K15)</f>
        <v>15992167186.39805</v>
      </c>
    </row>
    <row r="19" spans="1:11" x14ac:dyDescent="0.25">
      <c r="A19" t="s">
        <v>7</v>
      </c>
      <c r="B19" s="9">
        <f>Assumptions!$B$10+($B$20-Assumptions!$B$10)*0/9</f>
        <v>0.020651981445888222</v>
      </c>
      <c r="C19" s="9">
        <f>Assumptions!$B$10+($B$20-Assumptions!$B$10)*1/9</f>
        <v>0.02312316360211115</v>
      </c>
      <c r="D19" s="9">
        <f>Assumptions!$B$10+($B$20-Assumptions!$B$10)*2/9</f>
        <v>0.02559434575833408</v>
      </c>
      <c r="E19" s="9">
        <f>Assumptions!$B$10+($B$20-Assumptions!$B$10)*3/9</f>
        <v>0.028065527914557013</v>
      </c>
      <c r="F19" s="9">
        <f>Assumptions!$B$10+($B$20-Assumptions!$B$10)*4/9</f>
        <v>0.030536710070779943</v>
      </c>
      <c r="G19" s="9">
        <f>Assumptions!$B$10+($B$20-Assumptions!$B$10)*5/9</f>
        <v>0.03300789222700287</v>
      </c>
      <c r="H19" s="9">
        <f>Assumptions!$B$10+($B$20-Assumptions!$B$10)*6/9</f>
        <v>0.035479074383225805</v>
      </c>
      <c r="I19" s="9">
        <f>Assumptions!$B$10+($B$20-Assumptions!$B$10)*7/9</f>
        <v>0.03795025653944874</v>
      </c>
      <c r="J19" s="9">
        <f>Assumptions!$B$10+($B$20-Assumptions!$B$10)*8/9</f>
        <v>0.04042143869567166</v>
      </c>
      <c r="K19" s="9">
        <f>Assumptions!$B$10+($B$20-Assumptions!$B$10)*9/9</f>
        <v>0.042892620851894596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0.042892620851894596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2537901707.0092444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3414730350.0053215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0.2810885507709372</v>
      </c>
    </row>
    <row r="7" spans="1:2" x14ac:dyDescent="0.25">
      <c r="A7" t="s">
        <v>66</v>
      </c>
      <c r="B7" s="18">
        <f>-MAX(B5,0)*B6</f>
        <v>-959841605.3565309</v>
      </c>
    </row>
    <row r="8" spans="1:2" x14ac:dyDescent="0.25">
      <c r="A8" t="s">
        <v>67</v>
      </c>
      <c r="B8" s="18">
        <f>IF(OR(Assumptions!$B$33=0,Assumptions!B12&lt;=0),B5,MAX(B5+B7,0))</f>
        <v>2454888744.6487904</v>
      </c>
    </row>
    <row r="9" spans="1:2" x14ac:dyDescent="0.25">
      <c r="A9" t="s">
        <v>68</v>
      </c>
      <c r="B9" s="18">
        <f>B8*(1+Assumptions!B12)/(Assumptions!B26-Assumptions!B12)</f>
        <v>39353505819.61776</v>
      </c>
    </row>
    <row r="10" spans="1:2" x14ac:dyDescent="0.25">
      <c r="A10" t="s">
        <v>69</v>
      </c>
      <c r="B10" s="18">
        <f>B9/(1+Assumptions!B26)^(10-0.5*Assumptions!B32)</f>
        <v>17516450438.95293</v>
      </c>
    </row>
    <row r="11" spans="1:2" x14ac:dyDescent="0.25">
      <c r="A11" t="s">
        <v>70</v>
      </c>
      <c r="B11" s="18">
        <f>Forecast!B17+B10</f>
        <v>33508617625.350983</v>
      </c>
    </row>
    <row r="12" spans="1:2" x14ac:dyDescent="0.25">
      <c r="A12" t="s">
        <v>71</v>
      </c>
      <c r="B12" s="18">
        <f>-Assumptions!B30</f>
        <v>-10696000000</v>
      </c>
    </row>
    <row r="13" spans="1:2" x14ac:dyDescent="0.25">
      <c r="A13" t="s">
        <v>72</v>
      </c>
      <c r="B13" s="18">
        <f>B11+B12</f>
        <v>22812617625.350983</v>
      </c>
    </row>
    <row r="14" spans="1:2" x14ac:dyDescent="0.25">
      <c r="A14" s="19" t="s">
        <v>73</v>
      </c>
      <c r="B14" s="24">
        <f>B13/Assumptions!B31</f>
        <v>26.4524786935888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4854834636.369217</v>
      </c>
    </row>
    <row r="18" spans="1:2" x14ac:dyDescent="0.25">
      <c r="A18" t="s">
        <v>68</v>
      </c>
      <c r="B18" s="18">
        <f>B17*Assumptions!B13</f>
        <v>85213558436.92296</v>
      </c>
    </row>
    <row r="19" spans="1:2" x14ac:dyDescent="0.25">
      <c r="A19" t="s">
        <v>69</v>
      </c>
      <c r="B19" s="18">
        <f>B18/(1+Assumptions!B26)^(10-0.5*Assumptions!B32)</f>
        <v>37928998751.18873</v>
      </c>
    </row>
    <row r="20" spans="1:2" x14ac:dyDescent="0.25">
      <c r="A20" t="s">
        <v>70</v>
      </c>
      <c r="B20" s="18">
        <f>Forecast!B17+B19</f>
        <v>53921165937.58678</v>
      </c>
    </row>
    <row r="21" spans="1:2" x14ac:dyDescent="0.25">
      <c r="A21" t="s">
        <v>71</v>
      </c>
      <c r="B21" s="18">
        <f>-Assumptions!B30</f>
        <v>-10696000000</v>
      </c>
    </row>
    <row r="22" spans="1:2" x14ac:dyDescent="0.25">
      <c r="A22" t="s">
        <v>72</v>
      </c>
      <c r="B22" s="18">
        <f>B20+B21</f>
        <v>43225165937.58678</v>
      </c>
    </row>
    <row r="23" spans="1:2" x14ac:dyDescent="0.25">
      <c r="A23" s="19" t="s">
        <v>73</v>
      </c>
      <c r="B23" s="25">
        <f>B22/Assumptions!B31</f>
        <v>50.12194566046704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55.17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26.4524786935888</v>
      </c>
    </row>
    <row r="29" spans="1:2" x14ac:dyDescent="0.25">
      <c r="A29" s="19" t="s">
        <v>81</v>
      </c>
      <c r="B29" s="11">
        <f>B28/B26-1</f>
        <v>-0.5205278467719993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0.06894</v>
      </c>
      <c r="B5" s="31">
        <v>39.44865514938792</v>
      </c>
      <c r="C5" s="31">
        <v>38.76437893762378</v>
      </c>
      <c r="D5" s="31">
        <v>38.080102725859646</v>
      </c>
      <c r="E5" s="31">
        <v>37.39582651409551</v>
      </c>
      <c r="F5" s="31">
        <v>36.711550302331375</v>
      </c>
    </row>
    <row r="6" spans="1:6" x14ac:dyDescent="0.25">
      <c r="A6" s="30">
        <v>0.07894</v>
      </c>
      <c r="B6" s="31">
        <v>32.652862281663026</v>
      </c>
      <c r="C6" s="31">
        <v>32.08796786984226</v>
      </c>
      <c r="D6" s="31">
        <v>31.52307345802148</v>
      </c>
      <c r="E6" s="31">
        <v>30.958179046200698</v>
      </c>
      <c r="F6" s="31">
        <v>30.393284634379917</v>
      </c>
    </row>
    <row r="7" spans="1:6" x14ac:dyDescent="0.25">
      <c r="A7" s="30">
        <v>0.08894</v>
      </c>
      <c r="B7" s="31">
        <v>27.401162785144948</v>
      </c>
      <c r="C7" s="31">
        <v>26.92680818228188</v>
      </c>
      <c r="D7" s="32">
        <v>26.452453579418798</v>
      </c>
      <c r="E7" s="31">
        <v>25.97809897655572</v>
      </c>
      <c r="F7" s="31">
        <v>25.503744373692644</v>
      </c>
    </row>
    <row r="8" spans="1:6" x14ac:dyDescent="0.25">
      <c r="A8" s="30">
        <v>0.09894</v>
      </c>
      <c r="B8" s="31">
        <v>23.22445121821646</v>
      </c>
      <c r="C8" s="31">
        <v>22.82068362889803</v>
      </c>
      <c r="D8" s="31">
        <v>22.4169160395796</v>
      </c>
      <c r="E8" s="31">
        <v>22.01314845026117</v>
      </c>
      <c r="F8" s="31">
        <v>21.609380860942736</v>
      </c>
    </row>
    <row r="9" spans="1:6" x14ac:dyDescent="0.25">
      <c r="A9" s="30">
        <v>0.10894</v>
      </c>
      <c r="B9" s="31">
        <v>19.825925262170845</v>
      </c>
      <c r="C9" s="31">
        <v>19.47840540409973</v>
      </c>
      <c r="D9" s="31">
        <v>19.130885546028615</v>
      </c>
      <c r="E9" s="31">
        <v>18.7833656879575</v>
      </c>
      <c r="F9" s="31">
        <v>18.43584582988638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21747000000</v>
      </c>
      <c r="C5" s="18">
        <v>22486000000</v>
      </c>
      <c r="D5" s="18">
        <v>18951000000</v>
      </c>
      <c r="E5" s="18">
        <v>17288000000</v>
      </c>
      <c r="F5" s="6" t="s">
        <v>91</v>
      </c>
    </row>
    <row r="6" spans="1:6" x14ac:dyDescent="0.25">
      <c r="A6" t="s">
        <v>51</v>
      </c>
      <c r="B6" s="18">
        <v>1907000000</v>
      </c>
      <c r="C6" s="18">
        <v>2098000000</v>
      </c>
      <c r="D6" s="18">
        <v>2062000000</v>
      </c>
      <c r="E6" s="18">
        <v>1904000000</v>
      </c>
      <c r="F6" s="6" t="s">
        <v>92</v>
      </c>
    </row>
    <row r="7" spans="1:6" x14ac:dyDescent="0.25">
      <c r="A7" t="s">
        <v>93</v>
      </c>
      <c r="B7" s="18">
        <v>1274000000</v>
      </c>
      <c r="C7" s="18">
        <v>1232000000</v>
      </c>
      <c r="D7" s="18">
        <v>491000000</v>
      </c>
      <c r="E7" s="18">
        <v>328000000</v>
      </c>
      <c r="F7" s="6" t="s">
        <v>94</v>
      </c>
    </row>
    <row r="8" spans="1:6" x14ac:dyDescent="0.25">
      <c r="A8" t="s">
        <v>95</v>
      </c>
      <c r="B8" s="18">
        <v>392000000</v>
      </c>
      <c r="C8" s="18">
        <v>519000000</v>
      </c>
      <c r="D8" s="18">
        <v>439000000</v>
      </c>
      <c r="E8" s="18">
        <v>317000000</v>
      </c>
      <c r="F8" s="6" t="s">
        <v>96</v>
      </c>
    </row>
    <row r="9" spans="1:6" x14ac:dyDescent="0.25">
      <c r="A9" t="s">
        <v>97</v>
      </c>
      <c r="B9" s="18">
        <v>398000000</v>
      </c>
      <c r="C9" s="18">
        <v>-339000000</v>
      </c>
      <c r="D9" s="18">
        <v>-503000000</v>
      </c>
      <c r="E9" s="18">
        <v>241000000</v>
      </c>
      <c r="F9" s="6" t="s">
        <v>98</v>
      </c>
    </row>
    <row r="10" spans="1:6" x14ac:dyDescent="0.25">
      <c r="A10" t="s">
        <v>99</v>
      </c>
      <c r="B10" s="18">
        <v>12251000000</v>
      </c>
      <c r="C10" s="18">
        <v>12794000000</v>
      </c>
      <c r="D10" s="18">
        <v>14626000000</v>
      </c>
      <c r="E10" s="18">
        <v>9371000000</v>
      </c>
      <c r="F10" s="6" t="s">
        <v>100</v>
      </c>
    </row>
    <row r="11" spans="1:6" x14ac:dyDescent="0.25">
      <c r="A11" t="s">
        <v>101</v>
      </c>
      <c r="B11" s="18">
        <v>1555000000</v>
      </c>
      <c r="C11" s="18">
        <v>3969000000</v>
      </c>
      <c r="D11" s="18">
        <v>9852000000</v>
      </c>
      <c r="E11" s="18">
        <v>3520000000</v>
      </c>
      <c r="F11" s="6" t="s">
        <v>102</v>
      </c>
    </row>
    <row r="12" spans="1:6" x14ac:dyDescent="0.25">
      <c r="A12" t="s">
        <v>34</v>
      </c>
      <c r="B12" s="34">
        <v>862400000</v>
      </c>
      <c r="C12" s="34">
        <v>911700000</v>
      </c>
      <c r="D12" s="34">
        <v>853000000</v>
      </c>
      <c r="E12" s="34">
        <v>861200000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