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<sst xmlns="http://schemas.openxmlformats.org/spreadsheetml/2006/main" count="112" uniqueCount="100">
  <si>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Casey's General Stores, Inc. (CASY)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</si>
  <si>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</si>
  <si>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</si>
  <si>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</si>
  <si>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</si>
  <si>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</si>
  <si>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</si>
  <si>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</si>
  <si>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</si>
  <si>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</si>
  <si>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</si>
  <si>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</si>
  <si>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</si>
  <si>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</si>
  <si>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</si>
  <si>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</si>
  <si>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</si>
  <si>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</si>
  <si>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</si>
  <si>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</si>
  <si>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</si>
  <si>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</si>
  <si>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</si>
  <si>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</si>
  <si>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</si>
  <si>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</si>
  <si>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</si>
  <si>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</si>
  <si>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</si>
  <si>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</si>
  <si>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</si>
  <si>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</si>
  <si>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</si>
  <si>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</si>
  <si>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</si>
  <si>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</si>
  <si>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</si>
  <si>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</si>
  <si>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</si>
  <si>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</si>
  <si>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</si>
  <si>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</si>
  <si>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</si>
  <si>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</si>
  <si>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</si>
  <si>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</si>
  <si>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</si>
  <si>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</si>
  <si>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</si>
  <si>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</si>
  <si>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</si>
  <si>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</si>
  <si>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</si>
  <si>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</si>
  <si>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</si>
  <si>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</si>
  <si>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</si>
  <si>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</si>
  <si>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</si>
  <si>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</si>
  <si>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</si>
  <si>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</si>
  <si>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</si>
  <si>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</si>
  <si>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</si>
  <si>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</si>
  <si>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</si>
  <si>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</si>
  <si>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</si>
  <si>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</si>
  <si>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</si>
  <si>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</si>
  <si>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</si>
  <si>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</si>
  <si>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</si>
  <si>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</si>
  <si>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</si>
  <si>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</si>
  <si>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</si>
  <si>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</si>
  <si>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</si>
  <si>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</si>
  <si>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</si>
  <si>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</si>
  <si>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</si>
  <si>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</si>
  <si>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</si>
  <si>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</si>
  <si>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</si>
  <si>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</si>
  <si>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</si>
  <si>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</si>
  <si>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</si>
  <si>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</si>
  <si>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</si>
  <si>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</si>
  <si>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</si>
  <si>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</si>
  <si>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3.4% of revenue against depreciation of 2.4%.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</si>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</sst>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0.05174690514849711</v>
      </c>
    </row>
    <row r="7" spans="1:2" x14ac:dyDescent="0.25">
      <c r="A7" t="s">
        <v>5</v>
      </c>
      <c r="B7" s="6">
        <v>0.049729659859849076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0.02380588170622597</v>
      </c>
    </row>
    <row r="10" spans="1:2" x14ac:dyDescent="0.25">
      <c r="A10" t="s">
        <v>8</v>
      </c>
      <c r="B10" s="6">
        <v>0.03395015659190672</v>
      </c>
    </row>
    <row r="11" spans="1:2" x14ac:dyDescent="0.25">
      <c r="A11" t="s">
        <v>9</v>
      </c>
      <c r="B11" s="6">
        <v>-0.013527942812069113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16.490157761953068</v>
      </c>
    </row>
    <row r="14" spans="1:3" x14ac:dyDescent="0.25">
      <c r="A14" t="s">
        <v>12</v>
      </c>
      <c r="B14" s="6">
        <v>0.11852898783988458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0.72664</v>
      </c>
      <c r="C19" s="8" t="s">
        <v>19</v>
      </c>
    </row>
    <row r="20" spans="1:2" x14ac:dyDescent="0.25">
      <c r="A20" t="s">
        <v>20</v>
      </c>
      <c r="B20" s="10">
        <f>B17+B19*B18</f>
        <v>0.0899452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22082961408</v>
      </c>
    </row>
    <row r="23" spans="1:2" x14ac:dyDescent="0.25">
      <c r="A23" t="s">
        <v>24</v>
      </c>
      <c r="B23" s="11">
        <v>2905075000</v>
      </c>
    </row>
    <row r="24" spans="1:2" x14ac:dyDescent="0.25">
      <c r="A24" t="s">
        <v>25</v>
      </c>
      <c r="B24" s="10">
        <f>B22/(B22+B23)</f>
        <v>0.8837413651650543</v>
      </c>
    </row>
    <row r="25" spans="1:2" x14ac:dyDescent="0.25">
      <c r="A25" t="s">
        <v>26</v>
      </c>
      <c r="B25" s="10">
        <f>1-B24</f>
        <v>0.1162586348349457</v>
      </c>
    </row>
    <row r="26" spans="1:2" x14ac:dyDescent="0.25">
      <c r="A26" t="s">
        <v>27</v>
      </c>
      <c r="B26" s="12">
        <f>B24*B20+B25*B21*(1-B8)</f>
        <v>0.08591555945798594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17561101000</v>
      </c>
      <c r="C29" s="8" t="s">
        <v>30</v>
      </c>
    </row>
    <row r="30" spans="1:2" x14ac:dyDescent="0.25">
      <c r="A30" t="s">
        <v>31</v>
      </c>
      <c r="B30" s="11">
        <v>2382084000</v>
      </c>
    </row>
    <row r="31" spans="1:2" x14ac:dyDescent="0.25">
      <c r="A31" t="s">
        <v>32</v>
      </c>
      <c r="B31" s="13">
        <v>37281653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0.05174690514849711</v>
      </c>
      <c r="C5" s="10">
        <f>Assumptions!B6</f>
        <v>0.05174690514849711</v>
      </c>
      <c r="D5" s="10">
        <f>Assumptions!B6</f>
        <v>0.05174690514849711</v>
      </c>
      <c r="E5" s="10">
        <f>Assumptions!B6</f>
        <v>0.05174690514849711</v>
      </c>
      <c r="F5" s="10">
        <f>Assumptions!B6</f>
        <v>0.05174690514849711</v>
      </c>
    </row>
    <row r="6" spans="1:6" x14ac:dyDescent="0.25">
      <c r="A6" t="s">
        <v>43</v>
      </c>
      <c r="B6" s="18">
        <f>Assumptions!B29*(1+B5)</f>
        <v>18469833627.75018</v>
      </c>
      <c r="C6" s="18">
        <f>B6*(1+C5)</f>
        <v>19425590356.59389</v>
      </c>
      <c r="D6" s="18">
        <f>C6*(1+D5)</f>
        <v>20430804538.230114</v>
      </c>
      <c r="E6" s="18">
        <f>D6*(1+E5)</f>
        <v>21488035442.777393</v>
      </c>
      <c r="F6" s="18">
        <f>E6*(1+F5)</f>
        <v>22599974774.66234</v>
      </c>
    </row>
    <row r="7" spans="1:6" x14ac:dyDescent="0.25">
      <c r="A7" t="s">
        <v>5</v>
      </c>
      <c r="B7" s="10">
        <f>Assumptions!B7</f>
        <v>0.049729659859849076</v>
      </c>
      <c r="C7" s="10">
        <f>Assumptions!B7</f>
        <v>0.049729659859849076</v>
      </c>
      <c r="D7" s="10">
        <f>Assumptions!B7</f>
        <v>0.049729659859849076</v>
      </c>
      <c r="E7" s="10">
        <f>Assumptions!B7</f>
        <v>0.049729659859849076</v>
      </c>
      <c r="F7" s="10">
        <f>Assumptions!B7</f>
        <v>0.049729659859849076</v>
      </c>
    </row>
    <row r="8" spans="1:6" x14ac:dyDescent="0.25">
      <c r="A8" t="s">
        <v>44</v>
      </c>
      <c r="B8" s="18">
        <f>B6*B7</f>
        <v>918498543.9760188</v>
      </c>
      <c r="C8" s="18">
        <f>C6*C7</f>
        <v>966028001.0101786</v>
      </c>
      <c r="D8" s="18">
        <f>D6*D7</f>
        <v>1016016960.3492445</v>
      </c>
      <c r="E8" s="18">
        <f>E6*E7</f>
        <v>1068592693.6257012</v>
      </c>
      <c r="F8" s="18">
        <f>F6*F7</f>
        <v>1123889058.3851273</v>
      </c>
    </row>
    <row r="9" spans="1:6" x14ac:dyDescent="0.25">
      <c r="A9" t="s">
        <v>45</v>
      </c>
      <c r="B9" s="18">
        <f>B8*(1-Assumptions!B8)</f>
        <v>725613849.7410549</v>
      </c>
      <c r="C9" s="18">
        <f>C8*(1-Assumptions!B8)</f>
        <v>763162120.7980411</v>
      </c>
      <c r="D9" s="18">
        <f>D8*(1-Assumptions!B8)</f>
        <v>802653398.6759032</v>
      </c>
      <c r="E9" s="18">
        <f>E8*(1-Assumptions!B8)</f>
        <v>844188227.964304</v>
      </c>
      <c r="F9" s="18">
        <f>F8*(1-Assumptions!B8)</f>
        <v>887872356.1242507</v>
      </c>
    </row>
    <row r="10" spans="1:6" x14ac:dyDescent="0.25">
      <c r="A10" t="s">
        <v>46</v>
      </c>
      <c r="B10" s="18">
        <f>B6*Assumptions!B9</f>
        <v>439690674.4758952</v>
      </c>
      <c r="C10" s="18">
        <f>C6*Assumptions!B9</f>
        <v>462443306.1026782</v>
      </c>
      <c r="D10" s="18">
        <f>D6*Assumptions!B9</f>
        <v>486373316.00013083</v>
      </c>
      <c r="E10" s="18">
        <f>E6*Assumptions!B9</f>
        <v>511541629.84994966</v>
      </c>
      <c r="F10" s="18">
        <f>F6*Assumptions!B9</f>
        <v>538012326.0493026</v>
      </c>
    </row>
    <row r="11" spans="1:6" x14ac:dyDescent="0.25">
      <c r="A11" t="s">
        <v>47</v>
      </c>
      <c r="B11" s="18">
        <f>-B6*Assumptions!B10</f>
        <v>-627053743.8885832</v>
      </c>
      <c r="C11" s="18">
        <f>-C6*Assumptions!B10</f>
        <v>-659501834.4965957</v>
      </c>
      <c r="D11" s="18">
        <f>-D6*Assumptions!B10</f>
        <v>-693629013.3715508</v>
      </c>
      <c r="E11" s="18">
        <f>-E6*Assumptions!B10</f>
        <v>-729522168.1347342</v>
      </c>
      <c r="F11" s="18">
        <f>-F6*Assumptions!B10</f>
        <v>-767272682.5729282</v>
      </c>
    </row>
    <row r="12" spans="1:6" x14ac:dyDescent="0.25">
      <c r="A12" t="s">
        <v>48</v>
      </c>
      <c r="B12" s="18">
        <f>-(B6-Assumptions!B29)*Assumptions!B11</f>
        <v>12293283.019665714</v>
      </c>
      <c r="C12" s="18">
        <f>-(C6-B6)*Assumptions!B11</f>
        <v>12929422.370047979</v>
      </c>
      <c r="D12" s="18">
        <f>-(D6-C6)*Assumptions!B11</f>
        <v>13598479.963055676</v>
      </c>
      <c r="E12" s="18">
        <f>-(E6-D6)*Assumptions!B11</f>
        <v>14302159.215867694</v>
      </c>
      <c r="F12" s="18">
        <f>-(F6-E6)*Assumptions!B11</f>
        <v>15042251.692229873</v>
      </c>
    </row>
    <row r="13" spans="1:6" x14ac:dyDescent="0.25">
      <c r="A13" s="19" t="s">
        <v>49</v>
      </c>
      <c r="B13" s="20">
        <f>B9+B10+B11+B12</f>
        <v>550544063.3480327</v>
      </c>
      <c r="C13" s="20">
        <f>C9+C10+C11+C12</f>
        <v>579033014.7741714</v>
      </c>
      <c r="D13" s="20">
        <f>D9+D10+D11+D12</f>
        <v>608996181.2675389</v>
      </c>
      <c r="E13" s="20">
        <f>E9+E10+E11+E12</f>
        <v>640509848.895387</v>
      </c>
      <c r="F13" s="20">
        <f>F9+F10+F11+F12</f>
        <v>673654251.2928549</v>
      </c>
    </row>
    <row r="14" spans="1:6" x14ac:dyDescent="0.25">
      <c r="A14" t="s">
        <v>50</v>
      </c>
      <c r="B14" s="21">
        <f>1/(1+Assumptions!$B$26)^(1-0.5*Assumptions!$B$32)</f>
        <v>0.9596259245517806</v>
      </c>
      <c r="C14" s="21">
        <f>1/(1+Assumptions!$B$26)^(2-0.5*Assumptions!$B$32)</f>
        <v>0.8837021591538476</v>
      </c>
      <c r="D14" s="21">
        <f>1/(1+Assumptions!$B$26)^(3-0.5*Assumptions!$B$32)</f>
        <v>0.8137853366747326</v>
      </c>
      <c r="E14" s="21">
        <f>1/(1+Assumptions!$B$26)^(4-0.5*Assumptions!$B$32)</f>
        <v>0.7494001992944259</v>
      </c>
      <c r="F14" s="21">
        <f>1/(1+Assumptions!$B$26)^(5-0.5*Assumptions!$B$32)</f>
        <v>0.6901090906814843</v>
      </c>
    </row>
    <row r="15" spans="1:6" x14ac:dyDescent="0.25">
      <c r="A15" s="19" t="s">
        <v>51</v>
      </c>
      <c r="B15" s="20">
        <f>B13*B14</f>
        <v>528316355.79684997</v>
      </c>
      <c r="C15" s="20">
        <f>C13*C14</f>
        <v>511692725.377297</v>
      </c>
      <c r="D15" s="20">
        <f>D13*D14</f>
        <v>495592162.40643066</v>
      </c>
      <c r="E15" s="20">
        <f>E13*E14</f>
        <v>479998208.4122457</v>
      </c>
      <c r="F15" s="20">
        <f>F13*F14</f>
        <v>464894922.79342824</v>
      </c>
    </row>
    <row r="17" spans="1:2" x14ac:dyDescent="0.25">
      <c r="A17" s="22" t="s">
        <v>52</v>
      </c>
      <c r="B17" s="23">
        <f>SUM(B15:F15)</f>
        <v>2480494374.7862515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673654251.2928549</v>
      </c>
    </row>
    <row r="5" spans="1:2" x14ac:dyDescent="0.25">
      <c r="A5" t="s">
        <v>56</v>
      </c>
      <c r="B5" s="18">
        <f>IF(Assumptions!$B$33=0,B4,B4-Forecast!F11-Forecast!F10-Forecast!F12)</f>
        <v>887872356.1242507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0.21091886850304808</v>
      </c>
    </row>
    <row r="7" spans="1:2" x14ac:dyDescent="0.25">
      <c r="A7" t="s">
        <v>58</v>
      </c>
      <c r="B7" s="18">
        <f>-MAX(Forecast!F9,0)*B6</f>
        <v>-187269032.72886232</v>
      </c>
    </row>
    <row r="8" spans="1:2" x14ac:dyDescent="0.25">
      <c r="A8" t="s">
        <v>59</v>
      </c>
      <c r="B8" s="18">
        <f>IF(OR(Assumptions!$B$33=0,Assumptions!B12&lt;=0),B5,MAX(B5+B7,0))</f>
        <v>700603323.3953884</v>
      </c>
    </row>
    <row r="9" spans="1:2" x14ac:dyDescent="0.25">
      <c r="A9" t="s">
        <v>60</v>
      </c>
      <c r="B9" s="18">
        <f>B8*(1+Assumptions!B12)/(Assumptions!B26-Assumptions!B12)</f>
        <v>11788751722.383282</v>
      </c>
    </row>
    <row r="10" spans="1:2" x14ac:dyDescent="0.25">
      <c r="A10" t="s">
        <v>61</v>
      </c>
      <c r="B10" s="18">
        <f>B9/(1+Assumptions!B26)^(5-0.5*Assumptions!B32)</f>
        <v>8135524731.403708</v>
      </c>
    </row>
    <row r="11" spans="1:2" x14ac:dyDescent="0.25">
      <c r="A11" t="s">
        <v>62</v>
      </c>
      <c r="B11" s="18">
        <f>Forecast!B17+B10</f>
        <v>10616019106.18996</v>
      </c>
    </row>
    <row r="12" spans="1:2" x14ac:dyDescent="0.25">
      <c r="A12" t="s">
        <v>63</v>
      </c>
      <c r="B12" s="18">
        <f>-Assumptions!B30</f>
        <v>-2382084000</v>
      </c>
    </row>
    <row r="13" spans="1:2" x14ac:dyDescent="0.25">
      <c r="A13" t="s">
        <v>64</v>
      </c>
      <c r="B13" s="18">
        <f>B11+B12</f>
        <v>8233935106.1899605</v>
      </c>
    </row>
    <row r="14" spans="1:2" x14ac:dyDescent="0.25">
      <c r="A14" s="19" t="s">
        <v>65</v>
      </c>
      <c r="B14" s="24">
        <f>B13/Assumptions!B31</f>
        <v>220.8575651457826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1661901384.43443</v>
      </c>
    </row>
    <row r="18" spans="1:2" x14ac:dyDescent="0.25">
      <c r="A18" t="s">
        <v>60</v>
      </c>
      <c r="B18" s="18">
        <f>B17*Assumptions!B13</f>
        <v>27405016014.13196</v>
      </c>
    </row>
    <row r="19" spans="1:2" x14ac:dyDescent="0.25">
      <c r="A19" t="s">
        <v>61</v>
      </c>
      <c r="B19" s="18">
        <f>B18/(1+Assumptions!B26)^(5-0.5*Assumptions!B32)</f>
        <v>18912450681.624123</v>
      </c>
    </row>
    <row r="20" spans="1:2" x14ac:dyDescent="0.25">
      <c r="A20" t="s">
        <v>62</v>
      </c>
      <c r="B20" s="18">
        <f>Forecast!B17+B19</f>
        <v>21392945056.410374</v>
      </c>
    </row>
    <row r="21" spans="1:2" x14ac:dyDescent="0.25">
      <c r="A21" t="s">
        <v>63</v>
      </c>
      <c r="B21" s="18">
        <f>-Assumptions!B30</f>
        <v>-2382084000</v>
      </c>
    </row>
    <row r="22" spans="1:2" x14ac:dyDescent="0.25">
      <c r="A22" t="s">
        <v>64</v>
      </c>
      <c r="B22" s="18">
        <f>B20+B21</f>
        <v>19010861056.410374</v>
      </c>
    </row>
    <row r="23" spans="1:2" x14ac:dyDescent="0.25">
      <c r="A23" s="19" t="s">
        <v>65</v>
      </c>
      <c r="B23" s="25">
        <f>B22/Assumptions!B31</f>
        <v>509.92537955359364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597.48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220.8575651457826</v>
      </c>
    </row>
    <row r="29" spans="1:2" x14ac:dyDescent="0.25">
      <c r="A29" s="19" t="s">
        <v>73</v>
      </c>
      <c r="B29" s="12">
        <f>B28/B26-1</f>
        <v>-0.6303515345354112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0.065916</v>
      </c>
      <c r="B5" s="31">
        <v>316.88249532085024</v>
      </c>
      <c r="C5" s="31">
        <v>335.71821953416276</v>
      </c>
      <c r="D5" s="31">
        <v>358.97322700905386</v>
      </c>
      <c r="E5" s="31">
        <v>388.4931923452476</v>
      </c>
      <c r="F5" s="31">
        <v>427.3177832849983</v>
      </c>
    </row>
    <row r="6" spans="1:6" x14ac:dyDescent="0.25">
      <c r="A6" s="30">
        <v>0.075916</v>
      </c>
      <c r="B6" s="31">
        <v>253.52077216874903</v>
      </c>
      <c r="C6" s="31">
        <v>263.9721542859758</v>
      </c>
      <c r="D6" s="31">
        <v>276.3342551128888</v>
      </c>
      <c r="E6" s="31">
        <v>291.23127494231204</v>
      </c>
      <c r="F6" s="31">
        <v>309.5925271244666</v>
      </c>
    </row>
    <row r="7" spans="1:6" x14ac:dyDescent="0.25">
      <c r="A7" s="30">
        <v>0.085916</v>
      </c>
      <c r="B7" s="31">
        <v>208.10159084143413</v>
      </c>
      <c r="C7" s="31">
        <v>214.04742697211782</v>
      </c>
      <c r="D7" s="32">
        <v>220.85552287443775</v>
      </c>
      <c r="E7" s="31">
        <v>228.75718795132954</v>
      </c>
      <c r="F7" s="31">
        <v>238.07459082598774</v>
      </c>
    </row>
    <row r="8" spans="1:6" x14ac:dyDescent="0.25">
      <c r="A8" s="30">
        <v>0.095916</v>
      </c>
      <c r="B8" s="31">
        <v>173.96897204903632</v>
      </c>
      <c r="C8" s="31">
        <v>177.31817629591254</v>
      </c>
      <c r="D8" s="31">
        <v>181.0458460996761</v>
      </c>
      <c r="E8" s="31">
        <v>185.23810597263537</v>
      </c>
      <c r="F8" s="31">
        <v>190.0093569102255</v>
      </c>
    </row>
    <row r="9" spans="1:6" x14ac:dyDescent="0.25">
      <c r="A9" s="30">
        <v>0.105916</v>
      </c>
      <c r="B9" s="31">
        <v>147.39555863181621</v>
      </c>
      <c r="C9" s="31">
        <v>149.1746431044064</v>
      </c>
      <c r="D9" s="31">
        <v>151.09467025217145</v>
      </c>
      <c r="E9" s="31">
        <v>153.1834884881944</v>
      </c>
      <c r="F9" s="31">
        <v>155.47680014091839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17561101000</v>
      </c>
      <c r="C5" s="18">
        <v>15940899000</v>
      </c>
      <c r="D5" s="18">
        <v>14862913000</v>
      </c>
      <c r="E5" s="18">
        <v>15094475000</v>
      </c>
      <c r="F5" s="8" t="s">
        <v>84</v>
      </c>
    </row>
    <row r="6" spans="1:6" x14ac:dyDescent="0.25">
      <c r="A6" t="s">
        <v>44</v>
      </c>
      <c r="B6" s="18">
        <v>1033657000</v>
      </c>
      <c r="C6" s="18">
        <v>796400000</v>
      </c>
      <c r="D6" s="18">
        <v>709601000</v>
      </c>
      <c r="E6" s="18">
        <v>639333000</v>
      </c>
      <c r="F6" s="8" t="s">
        <v>85</v>
      </c>
    </row>
    <row r="7" spans="1:6" x14ac:dyDescent="0.25">
      <c r="A7" t="s">
        <v>86</v>
      </c>
      <c r="B7" s="18">
        <v>449958000</v>
      </c>
      <c r="C7" s="18">
        <v>403647000</v>
      </c>
      <c r="D7" s="18">
        <v>349797000</v>
      </c>
      <c r="E7" s="18">
        <v>313131000</v>
      </c>
      <c r="F7" s="8" t="s">
        <v>87</v>
      </c>
    </row>
    <row r="8" spans="1:6" x14ac:dyDescent="0.25">
      <c r="A8" t="s">
        <v>88</v>
      </c>
      <c r="B8" s="18">
        <v>655920000</v>
      </c>
      <c r="C8" s="18">
        <v>506224000</v>
      </c>
      <c r="D8" s="18">
        <v>522004000</v>
      </c>
      <c r="E8" s="18">
        <v>476568000</v>
      </c>
      <c r="F8" s="8" t="s">
        <v>89</v>
      </c>
    </row>
    <row r="9" spans="1:6" x14ac:dyDescent="0.25">
      <c r="A9" t="s">
        <v>90</v>
      </c>
      <c r="B9" s="18">
        <v>-21918000</v>
      </c>
      <c r="C9" s="18">
        <v>-6754000</v>
      </c>
      <c r="D9" s="18">
        <v>73471000</v>
      </c>
      <c r="E9" s="18">
        <v>-19088000</v>
      </c>
      <c r="F9" s="8" t="s">
        <v>91</v>
      </c>
    </row>
    <row r="10" spans="1:6" x14ac:dyDescent="0.25">
      <c r="A10" t="s">
        <v>92</v>
      </c>
      <c r="B10" s="18">
        <v>2905075000</v>
      </c>
      <c r="C10" s="18">
        <v>2957899000</v>
      </c>
      <c r="D10" s="18">
        <v>1751108000</v>
      </c>
      <c r="E10" s="18">
        <v>1673374000</v>
      </c>
      <c r="F10" s="8" t="s">
        <v>93</v>
      </c>
    </row>
    <row r="11" spans="1:6" x14ac:dyDescent="0.25">
      <c r="A11" t="s">
        <v>94</v>
      </c>
      <c r="B11" s="18">
        <v>522991000</v>
      </c>
      <c r="C11" s="18">
        <v>326662000</v>
      </c>
      <c r="D11" s="18">
        <v>206482000</v>
      </c>
      <c r="E11" s="18">
        <v>378869000</v>
      </c>
      <c r="F11" s="8" t="s">
        <v>95</v>
      </c>
    </row>
    <row r="12" spans="1:6" x14ac:dyDescent="0.25">
      <c r="A12" t="s">
        <v>32</v>
      </c>
      <c r="B12" s="34">
        <v>37281653</v>
      </c>
      <c r="C12" s="34">
        <v>37343012</v>
      </c>
      <c r="D12" s="34">
        <v>37370306</v>
      </c>
      <c r="E12" s="34">
        <v>37519695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2026-09-19T01:03:57Z</dcterms:modified>
</cp:coreProperties>
</file>