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<sst xmlns="http://schemas.openxmlformats.org/spreadsheetml/2006/main" count="120" uniqueCount="107">
  <si>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Casey's General Stores, Inc. (CASY)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</si>
  <si>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</si>
  <si>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</si>
  <si>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</si>
  <si>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</si>
  <si>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</si>
  <si>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</si>
  <si>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</si>
  <si>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</si>
  <si>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</si>
  <si>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</si>
  <si>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</si>
  <si>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</si>
  <si>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</si>
  <si>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</si>
  <si>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</si>
  <si>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</si>
  <si>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</si>
  <si>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</si>
  <si>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</si>
  <si>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</si>
  <si>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</si>
  <si>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</si>
  <si>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</si>
  <si>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</si>
  <si>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</si>
  <si>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</si>
  <si>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</si>
  <si>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</si>
  <si>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</si>
  <si>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</si>
  <si>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</si>
  <si>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2026-04-30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</si>
  <si>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</si>
  <si>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</si>
  <si>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</si>
  <si>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</si>
  <si>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</si>
  <si>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</si>
  <si>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</si>
  <si>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</si>
  <si>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</si>
  <si>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</si>
  <si>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</si>
  <si>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</si>
  <si>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</si>
  <si>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</si>
  <si>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</si>
  <si>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</si>
  <si>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</si>
  <si>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</si>
  <si>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</si>
  <si>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</si>
  <si>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</si>
  <si>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</si>
  <si>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</si>
  <si>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</si>
  <si>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</si>
  <si>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</si>
  <si>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</si>
  <si>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</si>
  <si>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</si>
  <si>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</si>
  <si>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</si>
  <si>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</si>
  <si>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</si>
  <si>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</si>
  <si>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</si>
  <si>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</si>
  <si>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</si>
  <si>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</si>
  <si>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</si>
  <si>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</si>
  <si>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</si>
  <si>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</si>
  <si>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</si>
  <si>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</si>
  <si>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</si>
  <si>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</si>
  <si>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</si>
  <si>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</si>
  <si>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</si>
  <si>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</si>
  <si>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</si>
  <si>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</si>
  <si>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</si>
  <si>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2026-04-30</t>
  </si>
  <si>
    <t>2025-04-30</t>
  </si>
  <si>
    <t>2024-04-30</t>
  </si>
  <si>
    <t>2023-04-30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</si>
  <si>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</si>
  <si>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</si>
  <si>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</si>
  <si>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</si>
  <si>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</si>
  <si>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</si>
  <si>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</si>
  <si>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</si>
  <si>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</si>
  <si>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</si>
  <si>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</si>
  <si>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</si>
  <si>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</si>
  <si>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</si>
  <si>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</si>
  <si>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3.4% of revenue against depreciation of 2.4%.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</si>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</sst>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0.1928623313538258</v>
      </c>
    </row>
    <row r="7" spans="1:2" x14ac:dyDescent="0.25">
      <c r="A7" t="s">
        <v>4</v>
      </c>
      <c r="B7" s="5">
        <v>0.049729659859849076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0.02380588170622597</v>
      </c>
    </row>
    <row r="10" spans="1:3" x14ac:dyDescent="0.25">
      <c r="A10" t="s">
        <v>7</v>
      </c>
      <c r="B10" s="5">
        <v>0.03395015659190672</v>
      </c>
      <c r="C10" s="6" t="s">
        <v>8</v>
      </c>
    </row>
    <row r="11" spans="1:2" x14ac:dyDescent="0.25">
      <c r="A11" t="s">
        <v>9</v>
      </c>
      <c r="B11" s="5">
        <v>-0.0002895108094116455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18.25120322994847</v>
      </c>
    </row>
    <row r="14" spans="1:3" x14ac:dyDescent="0.25">
      <c r="A14" t="s">
        <v>12</v>
      </c>
      <c r="B14" s="5">
        <v>0.11852898783988458</v>
      </c>
      <c r="C14" s="6" t="s">
        <v>13</v>
      </c>
    </row>
    <row r="15" spans="1:3" x14ac:dyDescent="0.25">
      <c r="A15" t="s">
        <v>14</v>
      </c>
      <c r="B15" s="5">
        <v>0.02380588170622597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0.7239599999999999</v>
      </c>
      <c r="C19" s="6" t="s">
        <v>21</v>
      </c>
    </row>
    <row r="20" spans="1:2" x14ac:dyDescent="0.25">
      <c r="A20" t="s">
        <v>22</v>
      </c>
      <c r="B20" s="9">
        <f>B17+B19*B18</f>
        <v>0.079563508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24695674880</v>
      </c>
    </row>
    <row r="23" spans="1:2" x14ac:dyDescent="0.25">
      <c r="A23" t="s">
        <v>26</v>
      </c>
      <c r="B23" s="10">
        <v>2905075000</v>
      </c>
    </row>
    <row r="24" spans="1:2" x14ac:dyDescent="0.25">
      <c r="A24" t="s">
        <v>27</v>
      </c>
      <c r="B24" s="9">
        <f>B22/(B22+B23)</f>
        <v>0.8947465191116032</v>
      </c>
    </row>
    <row r="25" spans="1:2" x14ac:dyDescent="0.25">
      <c r="A25" t="s">
        <v>28</v>
      </c>
      <c r="B25" s="9">
        <f>1-B24</f>
        <v>0.10525348088839681</v>
      </c>
    </row>
    <row r="26" spans="1:2" x14ac:dyDescent="0.25">
      <c r="A26" t="s">
        <v>29</v>
      </c>
      <c r="B26" s="11">
        <f>B24*B20+B25*B21*(1-B8)</f>
        <v>0.0769215500595406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17561101000</v>
      </c>
      <c r="C29" s="6" t="s">
        <v>32</v>
      </c>
    </row>
    <row r="30" spans="1:2" x14ac:dyDescent="0.25">
      <c r="A30" t="s">
        <v>33</v>
      </c>
      <c r="B30" s="10">
        <v>2382084000</v>
      </c>
    </row>
    <row r="31" spans="1:2" x14ac:dyDescent="0.25">
      <c r="A31" t="s">
        <v>34</v>
      </c>
      <c r="B31" s="12">
        <v>37281653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0.1928623313538258</v>
      </c>
      <c r="C5" s="5">
        <v>0.0023925452409867543</v>
      </c>
      <c r="D5" s="5">
        <v>0.00521847708586341</v>
      </c>
      <c r="E5" s="5">
        <v>0.008044408930740066</v>
      </c>
      <c r="F5" s="5">
        <v>0.010870340775616723</v>
      </c>
      <c r="G5" s="5">
        <v>0.013696272620493378</v>
      </c>
      <c r="H5" s="5">
        <v>0.016522204465370033</v>
      </c>
      <c r="I5" s="5">
        <v>0.01934813631024669</v>
      </c>
      <c r="J5" s="5">
        <v>0.022174068155123346</v>
      </c>
      <c r="K5" s="5">
        <v>0.025</v>
      </c>
    </row>
    <row r="6" spans="1:11" x14ac:dyDescent="0.25">
      <c r="A6" t="s">
        <v>50</v>
      </c>
      <c r="B6" s="18">
        <f>Assumptions!B29*(1+B5)</f>
        <v>20947975880</v>
      </c>
      <c r="C6" s="18">
        <f>B6*(1+C5)</f>
        <v>20998094860</v>
      </c>
      <c r="D6" s="18">
        <f>C6*(1+D5)</f>
        <v>21107672936.873695</v>
      </c>
      <c r="E6" s="18">
        <f>D6*(1+E5)</f>
        <v>21277471689.554222</v>
      </c>
      <c r="F6" s="18">
        <f>E6*(1+F5)</f>
        <v>21508765057.663216</v>
      </c>
      <c r="G6" s="18">
        <f>F6*(1+G5)</f>
        <v>21803354967.623116</v>
      </c>
      <c r="H6" s="18">
        <f>G6*(1+H5)</f>
        <v>22163594456.42923</v>
      </c>
      <c r="I6" s="18">
        <f>H6*(1+I5)</f>
        <v>22592418703.09725</v>
      </c>
      <c r="J6" s="18">
        <f>I6*(1+J5)</f>
        <v>23093384535.208813</v>
      </c>
      <c r="K6" s="18">
        <f>J6*(1+K5)</f>
        <v>23670719148.58903</v>
      </c>
    </row>
    <row r="7" spans="1:11" x14ac:dyDescent="0.25">
      <c r="A7" t="s">
        <v>4</v>
      </c>
      <c r="B7" s="9">
        <f>Assumptions!B7</f>
        <v>0.049729659859849076</v>
      </c>
      <c r="C7" s="9">
        <f>Assumptions!B7</f>
        <v>0.049729659859849076</v>
      </c>
      <c r="D7" s="9">
        <f>Assumptions!B7</f>
        <v>0.049729659859849076</v>
      </c>
      <c r="E7" s="9">
        <f>Assumptions!B7</f>
        <v>0.049729659859849076</v>
      </c>
      <c r="F7" s="9">
        <f>Assumptions!B7</f>
        <v>0.049729659859849076</v>
      </c>
      <c r="G7" s="9">
        <f>Assumptions!B7</f>
        <v>0.049729659859849076</v>
      </c>
      <c r="H7" s="9">
        <f>Assumptions!B7</f>
        <v>0.049729659859849076</v>
      </c>
      <c r="I7" s="9">
        <f>Assumptions!B7</f>
        <v>0.049729659859849076</v>
      </c>
      <c r="J7" s="9">
        <f>Assumptions!B7</f>
        <v>0.049729659859849076</v>
      </c>
      <c r="K7" s="9">
        <f>Assumptions!B7</f>
        <v>0.049729659859849076</v>
      </c>
    </row>
    <row r="8" spans="1:11" x14ac:dyDescent="0.25">
      <c r="A8" t="s">
        <v>51</v>
      </c>
      <c r="B8" s="18">
        <f>B6*B7</f>
        <v>1041735715.2647226</v>
      </c>
      <c r="C8" s="18">
        <f>C6*C7</f>
        <v>1044228115.0926452</v>
      </c>
      <c r="D8" s="18">
        <f>D6*D7</f>
        <v>1049677395.5836705</v>
      </c>
      <c r="E8" s="18">
        <f>E6*E7</f>
        <v>1058121429.7990997</v>
      </c>
      <c r="F8" s="18">
        <f>F6*F7</f>
        <v>1069623570.3229988</v>
      </c>
      <c r="G8" s="18">
        <f>G6*G7</f>
        <v>1084273426.3434482</v>
      </c>
      <c r="H8" s="18">
        <f>H6*H7</f>
        <v>1102188013.589862</v>
      </c>
      <c r="I8" s="18">
        <f>I6*I7</f>
        <v>1123513297.516319</v>
      </c>
      <c r="J8" s="18">
        <f>J6*J7</f>
        <v>1148426157.9486332</v>
      </c>
      <c r="K8" s="18">
        <f>K6*K7</f>
        <v>1177136811.8973489</v>
      </c>
    </row>
    <row r="9" spans="1:11" x14ac:dyDescent="0.25">
      <c r="A9" t="s">
        <v>52</v>
      </c>
      <c r="B9" s="18">
        <f>B8*(1-Assumptions!B8)</f>
        <v>822971215.0591309</v>
      </c>
      <c r="C9" s="18">
        <f>C8*(1-Assumptions!B8)</f>
        <v>824940210.9231898</v>
      </c>
      <c r="D9" s="18">
        <f>D8*(1-Assumptions!B8)</f>
        <v>829245142.5110997</v>
      </c>
      <c r="E9" s="18">
        <f>E8*(1-Assumptions!B8)</f>
        <v>835915929.5412887</v>
      </c>
      <c r="F9" s="18">
        <f>F8*(1-Assumptions!B8)</f>
        <v>845002620.5551691</v>
      </c>
      <c r="G9" s="18">
        <f>G8*(1-Assumptions!B8)</f>
        <v>856576006.8113241</v>
      </c>
      <c r="H9" s="18">
        <f>H8*(1-Assumptions!B8)</f>
        <v>870728530.7359911</v>
      </c>
      <c r="I9" s="18">
        <f>I8*(1-Assumptions!B8)</f>
        <v>887575505.0378921</v>
      </c>
      <c r="J9" s="18">
        <f>J8*(1-Assumptions!B8)</f>
        <v>907256664.7794203</v>
      </c>
      <c r="K9" s="18">
        <f>K8*(1-Assumptions!B8)</f>
        <v>929938081.3989056</v>
      </c>
    </row>
    <row r="10" spans="1:11" x14ac:dyDescent="0.25">
      <c r="A10" t="s">
        <v>53</v>
      </c>
      <c r="B10" s="18">
        <f>B6*Assumptions!B9</f>
        <v>498685035.7841549</v>
      </c>
      <c r="C10" s="18">
        <f>C6*Assumptions!B9</f>
        <v>499878162.2932716</v>
      </c>
      <c r="D10" s="18">
        <f>D6*Assumptions!B9</f>
        <v>502486765.0289225</v>
      </c>
      <c r="E10" s="18">
        <f>E6*Assumptions!B9</f>
        <v>506528974.04909986</v>
      </c>
      <c r="F10" s="18">
        <f>F6*Assumptions!B9</f>
        <v>512035116.60973716</v>
      </c>
      <c r="G10" s="18">
        <f>G6*Assumptions!B9</f>
        <v>519048089.1580903</v>
      </c>
      <c r="H10" s="18">
        <f>H6*Assumptions!B9</f>
        <v>527623907.81451994</v>
      </c>
      <c r="I10" s="18">
        <f>I6*Assumptions!B9</f>
        <v>537832447.1034603</v>
      </c>
      <c r="J10" s="18">
        <f>J6*Assumptions!B9</f>
        <v>549758380.4415692</v>
      </c>
      <c r="K10" s="18">
        <f>K6*Assumptions!B9</f>
        <v>563502339.9526085</v>
      </c>
    </row>
    <row r="11" spans="1:11" x14ac:dyDescent="0.25">
      <c r="A11" t="s">
        <v>54</v>
      </c>
      <c r="B11" s="18">
        <f>-B6*B19</f>
        <v>-711187061.409485</v>
      </c>
      <c r="C11" s="18">
        <f>-C6*C19</f>
        <v>-708553609.6881721</v>
      </c>
      <c r="D11" s="18">
        <f>-D6*D19</f>
        <v>-707893559.4312578</v>
      </c>
      <c r="E11" s="18">
        <f>-E6*E19</f>
        <v>-709195469.184026</v>
      </c>
      <c r="F11" s="18">
        <f>-F6*F19</f>
        <v>-712464240.2120404</v>
      </c>
      <c r="G11" s="18">
        <f>-G6*G19</f>
        <v>-717721102.0029887</v>
      </c>
      <c r="H11" s="18">
        <f>-H6*H19</f>
        <v>-725003823.6722138</v>
      </c>
      <c r="I11" s="18">
        <f>-I6*I19</f>
        <v>-734367153.7644073</v>
      </c>
      <c r="J11" s="18">
        <f>-J6*J19</f>
        <v>-745883495.3507785</v>
      </c>
      <c r="K11" s="18">
        <f>-K6*K19</f>
        <v>-759643827.859161</v>
      </c>
    </row>
    <row r="12" spans="1:11" x14ac:dyDescent="0.25">
      <c r="A12" t="s">
        <v>55</v>
      </c>
      <c r="B12" s="18">
        <f>-(B6-Assumptions!B29)*Assumptions!B11</f>
        <v>980536.8878847697</v>
      </c>
      <c r="C12" s="18">
        <f>-(C6-B6)*Assumptions!B11</f>
        <v>14509.986466686072</v>
      </c>
      <c r="D12" s="18">
        <f>-(D6-C6)*Assumptions!B11</f>
        <v>31724.03772947506</v>
      </c>
      <c r="E12" s="18">
        <f>-(E6-D6)*Assumptions!B11</f>
        <v>49158.5743256271</v>
      </c>
      <c r="F12" s="18">
        <f>-(F6-E6)*Assumptions!B11</f>
        <v>66961.9302127804</v>
      </c>
      <c r="G12" s="18">
        <f>-(G6-F6)*Assumptions!B11</f>
        <v>85286.96327699439</v>
      </c>
      <c r="H12" s="18">
        <f>-(H6-G6)*Assumptions!B11</f>
        <v>104293.22598629553</v>
      </c>
      <c r="I12" s="18">
        <f>-(I6-H6)*Assumptions!B11</f>
        <v>124149.25474819822</v>
      </c>
      <c r="J12" s="18">
        <f>-(J6-I6)*Assumptions!B11</f>
        <v>145035.0235421965</v>
      </c>
      <c r="K12" s="18">
        <f>-(K6-J6)*Assumptions!B11</f>
        <v>167144.61122106647</v>
      </c>
    </row>
    <row r="13" spans="1:11" x14ac:dyDescent="0.25">
      <c r="A13" s="19" t="s">
        <v>56</v>
      </c>
      <c r="B13" s="20">
        <f>B9+B10+B11+B12</f>
        <v>611449726.3216856</v>
      </c>
      <c r="C13" s="20">
        <f>C9+C10+C11+C12</f>
        <v>616279273.514756</v>
      </c>
      <c r="D13" s="20">
        <f>D9+D10+D11+D12</f>
        <v>623870072.1464938</v>
      </c>
      <c r="E13" s="20">
        <f>E9+E10+E11+E12</f>
        <v>633298592.9806882</v>
      </c>
      <c r="F13" s="20">
        <f>F9+F10+F11+F12</f>
        <v>644640458.8830786</v>
      </c>
      <c r="G13" s="20">
        <f>G9+G10+G11+G12</f>
        <v>657988280.9297028</v>
      </c>
      <c r="H13" s="20">
        <f>H9+H10+H11+H12</f>
        <v>673452908.1042836</v>
      </c>
      <c r="I13" s="20">
        <f>I9+I10+I11+I12</f>
        <v>691164947.6316934</v>
      </c>
      <c r="J13" s="20">
        <f>J9+J10+J11+J12</f>
        <v>711276584.8937532</v>
      </c>
      <c r="K13" s="20">
        <f>K9+K10+K11+K12</f>
        <v>733963738.1035742</v>
      </c>
    </row>
    <row r="14" spans="1:11" x14ac:dyDescent="0.25">
      <c r="A14" t="s">
        <v>57</v>
      </c>
      <c r="B14" s="21">
        <f>1/(1+Assumptions!$B$26)^(1-0.5*Assumptions!$B$32)</f>
        <v>0.9636247947741845</v>
      </c>
      <c r="C14" s="21">
        <f>1/(1+Assumptions!$B$26)^(2-0.5*Assumptions!$B$32)</f>
        <v>0.8947957209333474</v>
      </c>
      <c r="D14" s="21">
        <f>1/(1+Assumptions!$B$26)^(3-0.5*Assumptions!$B$32)</f>
        <v>0.8308829188940235</v>
      </c>
      <c r="E14" s="21">
        <f>1/(1+Assumptions!$B$26)^(4-0.5*Assumptions!$B$32)</f>
        <v>0.7715352328571063</v>
      </c>
      <c r="F14" s="21">
        <f>1/(1+Assumptions!$B$26)^(5-0.5*Assumptions!$B$32)</f>
        <v>0.7164265891182602</v>
      </c>
      <c r="G14" s="21">
        <f>1/(1+Assumptions!$B$26)^(6-0.5*Assumptions!$B$32)</f>
        <v>0.665254204522744</v>
      </c>
      <c r="H14" s="21">
        <f>1/(1+Assumptions!$B$26)^(7-0.5*Assumptions!$B$32)</f>
        <v>0.617736922885389</v>
      </c>
      <c r="I14" s="21">
        <f>1/(1+Assumptions!$B$26)^(8-0.5*Assumptions!$B$32)</f>
        <v>0.5736136702355299</v>
      </c>
      <c r="J14" s="21">
        <f>1/(1+Assumptions!$B$26)^(9-0.5*Assumptions!$B$32)</f>
        <v>0.5326420203995509</v>
      </c>
      <c r="K14" s="21">
        <f>1/(1+Assumptions!$B$26)^(10-0.5*Assumptions!$B$32)</f>
        <v>0.494596863039933</v>
      </c>
    </row>
    <row r="15" spans="1:11" x14ac:dyDescent="0.25">
      <c r="A15" s="19" t="s">
        <v>58</v>
      </c>
      <c r="B15" s="20">
        <f>B13*B14</f>
        <v>589208117.0414655</v>
      </c>
      <c r="C15" s="20">
        <f>C13*C14</f>
        <v>551444056.8409157</v>
      </c>
      <c r="D15" s="20">
        <f>D13*D14</f>
        <v>518362986.5557038</v>
      </c>
      <c r="E15" s="20">
        <f>E13*E14</f>
        <v>488612177.4034331</v>
      </c>
      <c r="F15" s="20">
        <f>F13*F14</f>
        <v>461837565.165234</v>
      </c>
      <c r="G15" s="20">
        <f>G13*G14</f>
        <v>437729470.4151772</v>
      </c>
      <c r="H15" s="20">
        <f>H13*H14</f>
        <v>416016727.16055673</v>
      </c>
      <c r="I15" s="20">
        <f>I13*I14</f>
        <v>396461662.3491635</v>
      </c>
      <c r="J15" s="20">
        <f>J13*J14</f>
        <v>378855797.2407014</v>
      </c>
      <c r="K15" s="20">
        <f>K13*K14</f>
        <v>363016162.4510907</v>
      </c>
    </row>
    <row r="17" spans="1:2" x14ac:dyDescent="0.25">
      <c r="A17" s="22" t="s">
        <v>59</v>
      </c>
      <c r="B17" s="23">
        <f>SUM(B15:K15)</f>
        <v>4601544722.623442</v>
      </c>
    </row>
    <row r="19" spans="1:11" x14ac:dyDescent="0.25">
      <c r="A19" t="s">
        <v>7</v>
      </c>
      <c r="B19" s="9">
        <f>Assumptions!$B$10+($B$20-Assumptions!$B$10)*0/9</f>
        <v>0.03395015659190672</v>
      </c>
      <c r="C19" s="9">
        <f>Assumptions!$B$10+($B$20-Assumptions!$B$10)*1/9</f>
        <v>0.033743709341837506</v>
      </c>
      <c r="D19" s="9">
        <f>Assumptions!$B$10+($B$20-Assumptions!$B$10)*2/9</f>
        <v>0.0335372620917683</v>
      </c>
      <c r="E19" s="9">
        <f>Assumptions!$B$10+($B$20-Assumptions!$B$10)*3/9</f>
        <v>0.033330814841699086</v>
      </c>
      <c r="F19" s="9">
        <f>Assumptions!$B$10+($B$20-Assumptions!$B$10)*4/9</f>
        <v>0.03312436759162987</v>
      </c>
      <c r="G19" s="9">
        <f>Assumptions!$B$10+($B$20-Assumptions!$B$10)*5/9</f>
        <v>0.032917920341560665</v>
      </c>
      <c r="H19" s="9">
        <f>Assumptions!$B$10+($B$20-Assumptions!$B$10)*6/9</f>
        <v>0.03271147309149145</v>
      </c>
      <c r="I19" s="9">
        <f>Assumptions!$B$10+($B$20-Assumptions!$B$10)*7/9</f>
        <v>0.03250502584142224</v>
      </c>
      <c r="J19" s="9">
        <f>Assumptions!$B$10+($B$20-Assumptions!$B$10)*8/9</f>
        <v>0.03229857859135303</v>
      </c>
      <c r="K19" s="9">
        <f>Assumptions!$B$10+($B$20-Assumptions!$B$10)*9/9</f>
        <v>0.03209213134128382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0.03209213134128382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733963738.1035742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929938081.3989056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0.21091886850304808</v>
      </c>
    </row>
    <row r="7" spans="1:2" x14ac:dyDescent="0.25">
      <c r="A7" t="s">
        <v>66</v>
      </c>
      <c r="B7" s="18">
        <f>-MAX(B5,0)*B6</f>
        <v>-196141487.9065526</v>
      </c>
    </row>
    <row r="8" spans="1:2" x14ac:dyDescent="0.25">
      <c r="A8" t="s">
        <v>67</v>
      </c>
      <c r="B8" s="18">
        <f>IF(OR(Assumptions!$B$33=0,Assumptions!B12&lt;=0),B5,MAX(B5+B7,0))</f>
        <v>733796593.492353</v>
      </c>
    </row>
    <row r="9" spans="1:2" x14ac:dyDescent="0.25">
      <c r="A9" t="s">
        <v>68</v>
      </c>
      <c r="B9" s="18">
        <f>B8*(1+Assumptions!B12)/(Assumptions!B26-Assumptions!B12)</f>
        <v>14486114291.02463</v>
      </c>
    </row>
    <row r="10" spans="1:2" x14ac:dyDescent="0.25">
      <c r="A10" t="s">
        <v>69</v>
      </c>
      <c r="B10" s="18">
        <f>B9/(1+Assumptions!B26)^(10-0.5*Assumptions!B32)</f>
        <v>7164786685.9787245</v>
      </c>
    </row>
    <row r="11" spans="1:2" x14ac:dyDescent="0.25">
      <c r="A11" t="s">
        <v>70</v>
      </c>
      <c r="B11" s="18">
        <f>Forecast!B17+B10</f>
        <v>11766331408.602165</v>
      </c>
    </row>
    <row r="12" spans="1:2" x14ac:dyDescent="0.25">
      <c r="A12" t="s">
        <v>71</v>
      </c>
      <c r="B12" s="18">
        <f>-Assumptions!B30</f>
        <v>-2382084000</v>
      </c>
    </row>
    <row r="13" spans="1:2" x14ac:dyDescent="0.25">
      <c r="A13" t="s">
        <v>72</v>
      </c>
      <c r="B13" s="18">
        <f>B11+B12</f>
        <v>9384247408.602165</v>
      </c>
    </row>
    <row r="14" spans="1:2" x14ac:dyDescent="0.25">
      <c r="A14" s="19" t="s">
        <v>73</v>
      </c>
      <c r="B14" s="24">
        <f>B13/Assumptions!B31</f>
        <v>251.71221374229745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1740639151.8499575</v>
      </c>
    </row>
    <row r="18" spans="1:2" x14ac:dyDescent="0.25">
      <c r="A18" t="s">
        <v>68</v>
      </c>
      <c r="B18" s="18">
        <f>B17*Assumptions!B13</f>
        <v>31768758910.41871</v>
      </c>
    </row>
    <row r="19" spans="1:2" x14ac:dyDescent="0.25">
      <c r="A19" t="s">
        <v>69</v>
      </c>
      <c r="B19" s="18">
        <f>B18/(1+Assumptions!B26)^(10-0.5*Assumptions!B32)</f>
        <v>15712728499.765013</v>
      </c>
    </row>
    <row r="20" spans="1:2" x14ac:dyDescent="0.25">
      <c r="A20" t="s">
        <v>70</v>
      </c>
      <c r="B20" s="18">
        <f>Forecast!B17+B19</f>
        <v>20314273222.388454</v>
      </c>
    </row>
    <row r="21" spans="1:2" x14ac:dyDescent="0.25">
      <c r="A21" t="s">
        <v>71</v>
      </c>
      <c r="B21" s="18">
        <f>-Assumptions!B30</f>
        <v>-2382084000</v>
      </c>
    </row>
    <row r="22" spans="1:2" x14ac:dyDescent="0.25">
      <c r="A22" t="s">
        <v>72</v>
      </c>
      <c r="B22" s="18">
        <f>B20+B21</f>
        <v>17932189222.388454</v>
      </c>
    </row>
    <row r="23" spans="1:2" x14ac:dyDescent="0.25">
      <c r="A23" s="19" t="s">
        <v>73</v>
      </c>
      <c r="B23" s="25">
        <f>B22/Assumptions!B31</f>
        <v>480.9923321368946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668.17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251.71221374229745</v>
      </c>
    </row>
    <row r="29" spans="1:2" x14ac:dyDescent="0.25">
      <c r="A29" s="19" t="s">
        <v>81</v>
      </c>
      <c r="B29" s="11">
        <f>B28/B26-1</f>
        <v>-0.6232811803249211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0.056922</v>
      </c>
      <c r="B5" s="31">
        <v>389.34489145051634</v>
      </c>
      <c r="C5" s="31">
        <v>412.6960797115026</v>
      </c>
      <c r="D5" s="31">
        <v>444.24232536587033</v>
      </c>
      <c r="E5" s="31">
        <v>488.5496287442317</v>
      </c>
      <c r="F5" s="31">
        <v>554.3496687928463</v>
      </c>
    </row>
    <row r="6" spans="1:6" x14ac:dyDescent="0.25">
      <c r="A6" s="30">
        <v>0.066922</v>
      </c>
      <c r="B6" s="31">
        <v>301.5544145541225</v>
      </c>
      <c r="C6" s="31">
        <v>311.7509349369749</v>
      </c>
      <c r="D6" s="31">
        <v>325.01305323729133</v>
      </c>
      <c r="E6" s="31">
        <v>342.5862049342433</v>
      </c>
      <c r="F6" s="31">
        <v>366.4961246606711</v>
      </c>
    </row>
    <row r="7" spans="1:6" x14ac:dyDescent="0.25">
      <c r="A7" s="30">
        <v>0.076922</v>
      </c>
      <c r="B7" s="31">
        <v>242.2273734082964</v>
      </c>
      <c r="C7" s="31">
        <v>246.33137625302572</v>
      </c>
      <c r="D7" s="32">
        <v>251.70955069862373</v>
      </c>
      <c r="E7" s="31">
        <v>258.76922324466506</v>
      </c>
      <c r="F7" s="31">
        <v>268.1120462814613</v>
      </c>
    </row>
    <row r="8" spans="1:6" x14ac:dyDescent="0.25">
      <c r="A8" s="30">
        <v>0.086922</v>
      </c>
      <c r="B8" s="31">
        <v>199.4833819116706</v>
      </c>
      <c r="C8" s="31">
        <v>200.5074390430424</v>
      </c>
      <c r="D8" s="31">
        <v>202.08094284317042</v>
      </c>
      <c r="E8" s="31">
        <v>204.3486826734852</v>
      </c>
      <c r="F8" s="31">
        <v>207.5112197691624</v>
      </c>
    </row>
    <row r="9" spans="1:6" x14ac:dyDescent="0.25">
      <c r="A9" s="30">
        <v>0.096922</v>
      </c>
      <c r="B9" s="31">
        <v>167.2435010852889</v>
      </c>
      <c r="C9" s="31">
        <v>166.6332180564748</v>
      </c>
      <c r="D9" s="31">
        <v>166.25143797754984</v>
      </c>
      <c r="E9" s="31">
        <v>166.149377851119</v>
      </c>
      <c r="F9" s="31">
        <v>166.39479710496906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17561101000</v>
      </c>
      <c r="C5" s="18">
        <v>15940899000</v>
      </c>
      <c r="D5" s="18">
        <v>14862913000</v>
      </c>
      <c r="E5" s="18">
        <v>15094475000</v>
      </c>
      <c r="F5" s="6" t="s">
        <v>91</v>
      </c>
    </row>
    <row r="6" spans="1:6" x14ac:dyDescent="0.25">
      <c r="A6" t="s">
        <v>51</v>
      </c>
      <c r="B6" s="18">
        <v>1033657000</v>
      </c>
      <c r="C6" s="18">
        <v>796400000</v>
      </c>
      <c r="D6" s="18">
        <v>709601000</v>
      </c>
      <c r="E6" s="18">
        <v>639333000</v>
      </c>
      <c r="F6" s="6" t="s">
        <v>92</v>
      </c>
    </row>
    <row r="7" spans="1:6" x14ac:dyDescent="0.25">
      <c r="A7" t="s">
        <v>93</v>
      </c>
      <c r="B7" s="18">
        <v>449958000</v>
      </c>
      <c r="C7" s="18">
        <v>403647000</v>
      </c>
      <c r="D7" s="18">
        <v>349797000</v>
      </c>
      <c r="E7" s="18">
        <v>313131000</v>
      </c>
      <c r="F7" s="6" t="s">
        <v>94</v>
      </c>
    </row>
    <row r="8" spans="1:6" x14ac:dyDescent="0.25">
      <c r="A8" t="s">
        <v>95</v>
      </c>
      <c r="B8" s="18">
        <v>655920000</v>
      </c>
      <c r="C8" s="18">
        <v>506224000</v>
      </c>
      <c r="D8" s="18">
        <v>522004000</v>
      </c>
      <c r="E8" s="18">
        <v>476568000</v>
      </c>
      <c r="F8" s="6" t="s">
        <v>96</v>
      </c>
    </row>
    <row r="9" spans="1:6" x14ac:dyDescent="0.25">
      <c r="A9" t="s">
        <v>97</v>
      </c>
      <c r="B9" s="18">
        <v>-21918000</v>
      </c>
      <c r="C9" s="18">
        <v>-6754000</v>
      </c>
      <c r="D9" s="18">
        <v>73471000</v>
      </c>
      <c r="E9" s="18">
        <v>-19088000</v>
      </c>
      <c r="F9" s="6" t="s">
        <v>98</v>
      </c>
    </row>
    <row r="10" spans="1:6" x14ac:dyDescent="0.25">
      <c r="A10" t="s">
        <v>99</v>
      </c>
      <c r="B10" s="18">
        <v>2905075000</v>
      </c>
      <c r="C10" s="18">
        <v>2957899000</v>
      </c>
      <c r="D10" s="18">
        <v>1751108000</v>
      </c>
      <c r="E10" s="18">
        <v>1673374000</v>
      </c>
      <c r="F10" s="6" t="s">
        <v>100</v>
      </c>
    </row>
    <row r="11" spans="1:6" x14ac:dyDescent="0.25">
      <c r="A11" t="s">
        <v>101</v>
      </c>
      <c r="B11" s="18">
        <v>522991000</v>
      </c>
      <c r="C11" s="18">
        <v>326662000</v>
      </c>
      <c r="D11" s="18">
        <v>206482000</v>
      </c>
      <c r="E11" s="18">
        <v>378869000</v>
      </c>
      <c r="F11" s="6" t="s">
        <v>102</v>
      </c>
    </row>
    <row r="12" spans="1:6" x14ac:dyDescent="0.25">
      <c r="A12" t="s">
        <v>34</v>
      </c>
      <c r="B12" s="34">
        <v>37281653</v>
      </c>
      <c r="C12" s="34">
        <v>37343012</v>
      </c>
      <c r="D12" s="34">
        <v>37370306</v>
      </c>
      <c r="E12" s="34">
        <v>37519695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