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<sst xmlns="http://schemas.openxmlformats.org/spreadsheetml/2006/main" count="113" uniqueCount="101">
  <si>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Caterpillar Inc. (CAT)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</si>
  <si>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</si>
  <si>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</si>
  <si>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</si>
  <si>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</si>
  <si>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</si>
  <si>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</si>
  <si>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</si>
  <si>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</si>
  <si>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</si>
  <si>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</si>
  <si>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</si>
  <si>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</si>
  <si>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</si>
  <si>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</si>
  <si>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</si>
  <si>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</si>
  <si>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</si>
  <si>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</si>
  <si>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</si>
  <si>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</si>
  <si>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</si>
  <si>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</si>
  <si>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</si>
  <si>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</si>
  <si>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</si>
  <si>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</si>
  <si>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</si>
  <si>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</si>
  <si>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</si>
  <si>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</si>
  <si>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</si>
  <si>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</si>
  <si>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</si>
  <si>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</si>
  <si>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</si>
  <si>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</si>
  <si>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</si>
  <si>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</si>
  <si>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</si>
  <si>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</si>
  <si>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</si>
  <si>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</si>
  <si>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</si>
  <si>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</si>
  <si>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</si>
  <si>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</si>
  <si>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</si>
  <si>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</si>
  <si>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</si>
  <si>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</si>
  <si>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</si>
  <si>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</si>
  <si>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</si>
  <si>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</si>
  <si>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</si>
  <si>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</si>
  <si>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</si>
  <si>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</si>
  <si>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</si>
  <si>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</si>
  <si>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</si>
  <si>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</si>
  <si>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</si>
  <si>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</si>
  <si>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</si>
  <si>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</si>
  <si>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</si>
  <si>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</si>
  <si>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</si>
  <si>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</si>
  <si>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</si>
  <si>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</si>
  <si>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</si>
  <si>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</si>
  <si>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</si>
  <si>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</si>
  <si>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</si>
  <si>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</si>
  <si>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</si>
  <si>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</si>
  <si>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</si>
  <si>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</si>
  <si>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</si>
  <si>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</si>
  <si>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</si>
  <si>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</si>
  <si>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</si>
  <si>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</si>
  <si>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</si>
  <si>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</si>
  <si>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</si>
  <si>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</si>
  <si>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</si>
  <si>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</si>
  <si>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</si>
  <si>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</si>
  <si>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</si>
  <si>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5.1% of revenue against depreciation of 3.4%. A perpetuity has to be a steady state, so the terminal year uses maintenance capex at depreciation and then charges the reinvestment terminal growth requires (g/ROIC of NOPAT). The bridge is shown under Terminal Value.</t>
  </si>
  <si>
    <t>Current EV/EBITDA of 30.2x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</si>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</sst>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0.0438323160905727</v>
      </c>
    </row>
    <row r="7" spans="1:2" x14ac:dyDescent="0.25">
      <c r="A7" t="s">
        <v>5</v>
      </c>
      <c r="B7" s="6">
        <v>0.17715023012928865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0.03399974437853723</v>
      </c>
    </row>
    <row r="10" spans="1:2" x14ac:dyDescent="0.25">
      <c r="A10" t="s">
        <v>8</v>
      </c>
      <c r="B10" s="6">
        <v>0.0507155714137253</v>
      </c>
    </row>
    <row r="11" spans="1:2" x14ac:dyDescent="0.25">
      <c r="A11" t="s">
        <v>9</v>
      </c>
      <c r="B11" s="6">
        <v>-0.01978252325429058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0.1571592812893658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1.39798</v>
      </c>
      <c r="C19" s="8" t="s">
        <v>19</v>
      </c>
    </row>
    <row r="20" spans="1:2" x14ac:dyDescent="0.25">
      <c r="A20" t="s">
        <v>20</v>
      </c>
      <c r="B20" s="10">
        <f>B17+B19*B18</f>
        <v>0.1268689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371872366592</v>
      </c>
    </row>
    <row r="23" spans="1:2" x14ac:dyDescent="0.25">
      <c r="A23" t="s">
        <v>24</v>
      </c>
      <c r="B23" s="11">
        <v>43330000000</v>
      </c>
    </row>
    <row r="24" spans="1:2" x14ac:dyDescent="0.25">
      <c r="A24" t="s">
        <v>25</v>
      </c>
      <c r="B24" s="10">
        <f>B22/(B22+B23)</f>
        <v>0.8956412499387838</v>
      </c>
    </row>
    <row r="25" spans="1:2" x14ac:dyDescent="0.25">
      <c r="A25" t="s">
        <v>26</v>
      </c>
      <c r="B25" s="10">
        <f>1-B24</f>
        <v>0.1043587500612162</v>
      </c>
    </row>
    <row r="26" spans="1:2" x14ac:dyDescent="0.25">
      <c r="A26" t="s">
        <v>27</v>
      </c>
      <c r="B26" s="12">
        <f>B24*B20+B25*B21*(1-B8)</f>
        <v>0.11774954193352566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67589000000</v>
      </c>
      <c r="C29" s="8" t="s">
        <v>30</v>
      </c>
    </row>
    <row r="30" spans="1:2" x14ac:dyDescent="0.25">
      <c r="A30" t="s">
        <v>31</v>
      </c>
      <c r="B30" s="11">
        <v>33350000000</v>
      </c>
    </row>
    <row r="31" spans="1:2" x14ac:dyDescent="0.25">
      <c r="A31" t="s">
        <v>32</v>
      </c>
      <c r="B31" s="13">
        <v>472300000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0.0438323160905727</v>
      </c>
      <c r="C5" s="10">
        <f>Assumptions!B6</f>
        <v>0.0438323160905727</v>
      </c>
      <c r="D5" s="10">
        <f>Assumptions!B6</f>
        <v>0.0438323160905727</v>
      </c>
      <c r="E5" s="10">
        <f>Assumptions!B6</f>
        <v>0.0438323160905727</v>
      </c>
      <c r="F5" s="10">
        <f>Assumptions!B6</f>
        <v>0.0438323160905727</v>
      </c>
    </row>
    <row r="6" spans="1:6" x14ac:dyDescent="0.25">
      <c r="A6" t="s">
        <v>43</v>
      </c>
      <c r="B6" s="18">
        <f>Assumptions!B29*(1+B5)</f>
        <v>70551582412.24571</v>
      </c>
      <c r="C6" s="18">
        <f>B6*(1+C5)</f>
        <v>73644021673.22935</v>
      </c>
      <c r="D6" s="18">
        <f>C6*(1+D5)</f>
        <v>76872009709.39133</v>
      </c>
      <c r="E6" s="18">
        <f>D6*(1+E5)</f>
        <v>80241487937.49094</v>
      </c>
      <c r="F6" s="18">
        <f>E6*(1+F5)</f>
        <v>83758658200.34491</v>
      </c>
    </row>
    <row r="7" spans="1:6" x14ac:dyDescent="0.25">
      <c r="A7" t="s">
        <v>5</v>
      </c>
      <c r="B7" s="10">
        <f>Assumptions!B7</f>
        <v>0.17715023012928865</v>
      </c>
      <c r="C7" s="10">
        <f>Assumptions!B7</f>
        <v>0.17715023012928865</v>
      </c>
      <c r="D7" s="10">
        <f>Assumptions!B7</f>
        <v>0.17715023012928865</v>
      </c>
      <c r="E7" s="10">
        <f>Assumptions!B7</f>
        <v>0.17715023012928865</v>
      </c>
      <c r="F7" s="10">
        <f>Assumptions!B7</f>
        <v>0.17715023012928865</v>
      </c>
    </row>
    <row r="8" spans="1:6" x14ac:dyDescent="0.25">
      <c r="A8" t="s">
        <v>44</v>
      </c>
      <c r="B8" s="18">
        <f>B6*B7</f>
        <v>12498229060.314802</v>
      </c>
      <c r="C8" s="18">
        <f>C6*C7</f>
        <v>13046055387.0589</v>
      </c>
      <c r="D8" s="18">
        <f>D6*D7</f>
        <v>13617894210.519585</v>
      </c>
      <c r="E8" s="18">
        <f>E6*E7</f>
        <v>14214798054.043058</v>
      </c>
      <c r="F8" s="18">
        <f>F6*F7</f>
        <v>14837865575.511532</v>
      </c>
    </row>
    <row r="9" spans="1:6" x14ac:dyDescent="0.25">
      <c r="A9" t="s">
        <v>45</v>
      </c>
      <c r="B9" s="18">
        <f>B8*(1-Assumptions!B8)</f>
        <v>9873600957.648695</v>
      </c>
      <c r="C9" s="18">
        <f>C8*(1-Assumptions!B8)</f>
        <v>10306383755.776531</v>
      </c>
      <c r="D9" s="18">
        <f>D8*(1-Assumptions!B8)</f>
        <v>10758136426.310472</v>
      </c>
      <c r="E9" s="18">
        <f>E8*(1-Assumptions!B8)</f>
        <v>11229690462.694017</v>
      </c>
      <c r="F9" s="18">
        <f>F8*(1-Assumptions!B8)</f>
        <v>11721913804.65411</v>
      </c>
    </row>
    <row r="10" spans="1:6" x14ac:dyDescent="0.25">
      <c r="A10" t="s">
        <v>46</v>
      </c>
      <c r="B10" s="18">
        <f>B6*Assumptions!B9</f>
        <v>2398735767.5176573</v>
      </c>
      <c r="C10" s="18">
        <f>C6*Assumptions!B9</f>
        <v>2503877911.8972535</v>
      </c>
      <c r="D10" s="18">
        <f>D6*Assumptions!B9</f>
        <v>2613628679.983737</v>
      </c>
      <c r="E10" s="18">
        <f>E6*Assumptions!B9</f>
        <v>2728190078.42817</v>
      </c>
      <c r="F10" s="18">
        <f>F6*Assumptions!B9</f>
        <v>2847772968.3009977</v>
      </c>
    </row>
    <row r="11" spans="1:6" x14ac:dyDescent="0.25">
      <c r="A11" t="s">
        <v>47</v>
      </c>
      <c r="B11" s="18">
        <f>-B6*Assumptions!B10</f>
        <v>-3578063816.179573</v>
      </c>
      <c r="C11" s="18">
        <f>-C6*Assumptions!B10</f>
        <v>-3734898640.362597</v>
      </c>
      <c r="D11" s="18">
        <f>-D6*Assumptions!B10</f>
        <v>-3898607898.13322</v>
      </c>
      <c r="E11" s="18">
        <f>-E6*Assumptions!B10</f>
        <v>-4069492911.8373985</v>
      </c>
      <c r="F11" s="18">
        <f>-F6*Assumptions!B10</f>
        <v>-4247868211.4774003</v>
      </c>
    </row>
    <row r="12" spans="1:6" x14ac:dyDescent="0.25">
      <c r="A12" t="s">
        <v>48</v>
      </c>
      <c r="B12" s="18">
        <f>-(B6-Assumptions!B29)*Assumptions!B11</f>
        <v>58607355.46300309</v>
      </c>
      <c r="C12" s="18">
        <f>-(C6-B6)*Assumptions!B11</f>
        <v>61176251.59289009</v>
      </c>
      <c r="D12" s="18">
        <f>-(D6-C6)*Assumptions!B11</f>
        <v>63857748.389946</v>
      </c>
      <c r="E12" s="18">
        <f>-(E6-D6)*Assumptions!B11</f>
        <v>66656781.40220635</v>
      </c>
      <c r="F12" s="18">
        <f>-(F6-E6)*Assumptions!B11</f>
        <v>69578502.51420805</v>
      </c>
    </row>
    <row r="13" spans="1:6" x14ac:dyDescent="0.25">
      <c r="A13" s="19" t="s">
        <v>49</v>
      </c>
      <c r="B13" s="20">
        <f>B9+B10+B11+B12</f>
        <v>8752880264.449781</v>
      </c>
      <c r="C13" s="20">
        <f>C9+C10+C11+C12</f>
        <v>9136539278.904078</v>
      </c>
      <c r="D13" s="20">
        <f>D9+D10+D11+D12</f>
        <v>9537014956.550934</v>
      </c>
      <c r="E13" s="20">
        <f>E9+E10+E11+E12</f>
        <v>9955044410.686996</v>
      </c>
      <c r="F13" s="20">
        <f>F9+F10+F11+F12</f>
        <v>10391397063.991917</v>
      </c>
    </row>
    <row r="14" spans="1:6" x14ac:dyDescent="0.25">
      <c r="A14" t="s">
        <v>50</v>
      </c>
      <c r="B14" s="21">
        <f>1/(1+Assumptions!$B$26)^(1-0.5*Assumptions!$B$32)</f>
        <v>0.94586193831987</v>
      </c>
      <c r="C14" s="21">
        <f>1/(1+Assumptions!$B$26)^(2-0.5*Assumptions!$B$32)</f>
        <v>0.8462199292729585</v>
      </c>
      <c r="D14" s="21">
        <f>1/(1+Assumptions!$B$26)^(3-0.5*Assumptions!$B$32)</f>
        <v>0.7570747269635513</v>
      </c>
      <c r="E14" s="21">
        <f>1/(1+Assumptions!$B$26)^(4-0.5*Assumptions!$B$32)</f>
        <v>0.6773205432533076</v>
      </c>
      <c r="F14" s="21">
        <f>1/(1+Assumptions!$B$26)^(5-0.5*Assumptions!$B$32)</f>
        <v>0.6059680794694424</v>
      </c>
    </row>
    <row r="15" spans="1:6" x14ac:dyDescent="0.25">
      <c r="A15" s="19" t="s">
        <v>51</v>
      </c>
      <c r="B15" s="20">
        <f>B13*B14</f>
        <v>8279016292.814206</v>
      </c>
      <c r="C15" s="20">
        <f>C13*C14</f>
        <v>7731521622.393816</v>
      </c>
      <c r="D15" s="20">
        <f>D13*D14</f>
        <v>7220232994.278103</v>
      </c>
      <c r="E15" s="20">
        <f>E13*E14</f>
        <v>6742756088.35732</v>
      </c>
      <c r="F15" s="20">
        <f>F13*F14</f>
        <v>6296854921.871584</v>
      </c>
    </row>
    <row r="17" spans="1:2" x14ac:dyDescent="0.25">
      <c r="A17" s="22" t="s">
        <v>52</v>
      </c>
      <c r="B17" s="23">
        <f>SUM(B15:F15)</f>
        <v>36270381919.71503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10391397063.991917</v>
      </c>
    </row>
    <row r="5" spans="1:2" x14ac:dyDescent="0.25">
      <c r="A5" t="s">
        <v>56</v>
      </c>
      <c r="B5" s="18">
        <f>IF(Assumptions!$B$33=0,B4,B4-Forecast!F11-Forecast!F10-Forecast!F12)</f>
        <v>11721913804.65411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0.15907428307698446</v>
      </c>
    </row>
    <row r="7" spans="1:2" x14ac:dyDescent="0.25">
      <c r="A7" t="s">
        <v>58</v>
      </c>
      <c r="B7" s="18">
        <f>-MAX(Forecast!F9,0)*B6</f>
        <v>-1864655034.7655597</v>
      </c>
    </row>
    <row r="8" spans="1:2" x14ac:dyDescent="0.25">
      <c r="A8" t="s">
        <v>59</v>
      </c>
      <c r="B8" s="18">
        <f>IF(OR(Assumptions!$B$33=0,Assumptions!B12&lt;=0),B5,MAX(B5+B7,0))</f>
        <v>9857258769.88855</v>
      </c>
    </row>
    <row r="9" spans="1:2" x14ac:dyDescent="0.25">
      <c r="A9" t="s">
        <v>60</v>
      </c>
      <c r="B9" s="18">
        <f>B8*(1+Assumptions!B12)/(Assumptions!B26-Assumptions!B12)</f>
        <v>108935203651.75667</v>
      </c>
    </row>
    <row r="10" spans="1:2" x14ac:dyDescent="0.25">
      <c r="A10" t="s">
        <v>61</v>
      </c>
      <c r="B10" s="18">
        <f>B9/(1+Assumptions!B26)^(5-0.5*Assumptions!B32)</f>
        <v>66011256143.46758</v>
      </c>
    </row>
    <row r="11" spans="1:2" x14ac:dyDescent="0.25">
      <c r="A11" t="s">
        <v>62</v>
      </c>
      <c r="B11" s="18">
        <f>Forecast!B17+B10</f>
        <v>102281638063.18262</v>
      </c>
    </row>
    <row r="12" spans="1:2" x14ac:dyDescent="0.25">
      <c r="A12" t="s">
        <v>63</v>
      </c>
      <c r="B12" s="18">
        <f>-Assumptions!B30</f>
        <v>-33350000000</v>
      </c>
    </row>
    <row r="13" spans="1:2" x14ac:dyDescent="0.25">
      <c r="A13" t="s">
        <v>64</v>
      </c>
      <c r="B13" s="18">
        <f>B11+B12</f>
        <v>68931638063.18262</v>
      </c>
    </row>
    <row r="14" spans="1:2" x14ac:dyDescent="0.25">
      <c r="A14" s="19" t="s">
        <v>65</v>
      </c>
      <c r="B14" s="24">
        <f>B13/Assumptions!B31</f>
        <v>145.9488419715914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17685638543.81253</v>
      </c>
    </row>
    <row r="18" spans="1:2" x14ac:dyDescent="0.25">
      <c r="A18" t="s">
        <v>60</v>
      </c>
      <c r="B18" s="18">
        <f>B17*Assumptions!B13</f>
        <v>353712770876.2506</v>
      </c>
    </row>
    <row r="19" spans="1:2" x14ac:dyDescent="0.25">
      <c r="A19" t="s">
        <v>61</v>
      </c>
      <c r="B19" s="18">
        <f>B18/(1+Assumptions!B26)^(5-0.5*Assumptions!B32)</f>
        <v>214338648451.6965</v>
      </c>
    </row>
    <row r="20" spans="1:2" x14ac:dyDescent="0.25">
      <c r="A20" t="s">
        <v>62</v>
      </c>
      <c r="B20" s="18">
        <f>Forecast!B17+B19</f>
        <v>250609030371.41153</v>
      </c>
    </row>
    <row r="21" spans="1:2" x14ac:dyDescent="0.25">
      <c r="A21" t="s">
        <v>63</v>
      </c>
      <c r="B21" s="18">
        <f>-Assumptions!B30</f>
        <v>-33350000000</v>
      </c>
    </row>
    <row r="22" spans="1:2" x14ac:dyDescent="0.25">
      <c r="A22" t="s">
        <v>64</v>
      </c>
      <c r="B22" s="18">
        <f>B20+B21</f>
        <v>217259030371.41153</v>
      </c>
    </row>
    <row r="23" spans="1:2" x14ac:dyDescent="0.25">
      <c r="A23" s="19" t="s">
        <v>65</v>
      </c>
      <c r="B23" s="25">
        <f>B22/Assumptions!B31</f>
        <v>460.00218160366614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808.99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145.9488419715914</v>
      </c>
    </row>
    <row r="29" spans="1:2" x14ac:dyDescent="0.25">
      <c r="A29" s="19" t="s">
        <v>73</v>
      </c>
      <c r="B29" s="12">
        <f>B28/B26-1</f>
        <v>-0.8195912904095336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0.09775</v>
      </c>
      <c r="B5" s="31">
        <v>190.54456149237933</v>
      </c>
      <c r="C5" s="31">
        <v>196.32412399277192</v>
      </c>
      <c r="D5" s="31">
        <v>202.82679153340942</v>
      </c>
      <c r="E5" s="31">
        <v>210.2126611711727</v>
      </c>
      <c r="F5" s="31">
        <v>218.69285691334278</v>
      </c>
    </row>
    <row r="6" spans="1:6" x14ac:dyDescent="0.25">
      <c r="A6" s="30">
        <v>0.10775</v>
      </c>
      <c r="B6" s="31">
        <v>162.8553324327351</v>
      </c>
      <c r="C6" s="31">
        <v>166.70407159114646</v>
      </c>
      <c r="D6" s="31">
        <v>170.95770711987453</v>
      </c>
      <c r="E6" s="31">
        <v>175.6943540742859</v>
      </c>
      <c r="F6" s="31">
        <v>181.0136024390575</v>
      </c>
    </row>
    <row r="7" spans="1:6" x14ac:dyDescent="0.25">
      <c r="A7" s="30">
        <v>0.11775</v>
      </c>
      <c r="B7" s="31">
        <v>140.56766539796084</v>
      </c>
      <c r="C7" s="31">
        <v>143.14461707619068</v>
      </c>
      <c r="D7" s="32">
        <v>145.94781958026812</v>
      </c>
      <c r="E7" s="31">
        <v>149.01594826503896</v>
      </c>
      <c r="F7" s="31">
        <v>152.39702600313638</v>
      </c>
    </row>
    <row r="8" spans="1:6" x14ac:dyDescent="0.25">
      <c r="A8" s="30">
        <v>0.12775</v>
      </c>
      <c r="B8" s="31">
        <v>122.2437007789521</v>
      </c>
      <c r="C8" s="31">
        <v>123.95829826682035</v>
      </c>
      <c r="D8" s="31">
        <v>125.79502913416749</v>
      </c>
      <c r="E8" s="31">
        <v>127.77263507605429</v>
      </c>
      <c r="F8" s="31">
        <v>129.9138991234036</v>
      </c>
    </row>
    <row r="9" spans="1:6" x14ac:dyDescent="0.25">
      <c r="A9" s="30">
        <v>0.13775</v>
      </c>
      <c r="B9" s="31">
        <v>106.91416306578759</v>
      </c>
      <c r="C9" s="31">
        <v>108.0308898098196</v>
      </c>
      <c r="D9" s="31">
        <v>109.20747936130353</v>
      </c>
      <c r="E9" s="31">
        <v>110.45226528972225</v>
      </c>
      <c r="F9" s="31">
        <v>111.77520327054067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67589000000</v>
      </c>
      <c r="C5" s="18">
        <v>64809000000</v>
      </c>
      <c r="D5" s="18">
        <v>67060000000</v>
      </c>
      <c r="E5" s="18">
        <v>59427000000</v>
      </c>
      <c r="F5" s="8" t="s">
        <v>84</v>
      </c>
    </row>
    <row r="6" spans="1:6" x14ac:dyDescent="0.25">
      <c r="A6" t="s">
        <v>44</v>
      </c>
      <c r="B6" s="18">
        <v>11151000000</v>
      </c>
      <c r="C6" s="18">
        <v>13072000000</v>
      </c>
      <c r="D6" s="18">
        <v>12966000000</v>
      </c>
      <c r="E6" s="18">
        <v>8829000000</v>
      </c>
      <c r="F6" s="8" t="s">
        <v>85</v>
      </c>
    </row>
    <row r="7" spans="1:6" x14ac:dyDescent="0.25">
      <c r="A7" t="s">
        <v>86</v>
      </c>
      <c r="B7" s="18">
        <v>2262000000</v>
      </c>
      <c r="C7" s="18">
        <v>2153000000</v>
      </c>
      <c r="D7" s="18">
        <v>2144000000</v>
      </c>
      <c r="E7" s="18">
        <v>2219000000</v>
      </c>
      <c r="F7" s="8" t="s">
        <v>87</v>
      </c>
    </row>
    <row r="8" spans="1:6" x14ac:dyDescent="0.25">
      <c r="A8" t="s">
        <v>88</v>
      </c>
      <c r="B8" s="18">
        <v>4286000000</v>
      </c>
      <c r="C8" s="18">
        <v>3215000000</v>
      </c>
      <c r="D8" s="18">
        <v>3092000000</v>
      </c>
      <c r="E8" s="18">
        <v>2599000000</v>
      </c>
      <c r="F8" s="8" t="s">
        <v>89</v>
      </c>
    </row>
    <row r="9" spans="1:6" x14ac:dyDescent="0.25">
      <c r="A9" t="s">
        <v>90</v>
      </c>
      <c r="B9" s="18">
        <v>348000000</v>
      </c>
      <c r="C9" s="18">
        <v>859000000</v>
      </c>
      <c r="D9" s="18">
        <v>-151000000</v>
      </c>
      <c r="E9" s="18">
        <v>1800000000</v>
      </c>
      <c r="F9" s="8" t="s">
        <v>91</v>
      </c>
    </row>
    <row r="10" spans="1:6" x14ac:dyDescent="0.25">
      <c r="A10" t="s">
        <v>92</v>
      </c>
      <c r="B10" s="18">
        <v>43330000000</v>
      </c>
      <c r="C10" s="18">
        <v>38409000000</v>
      </c>
      <c r="D10" s="18">
        <v>37878000000</v>
      </c>
      <c r="E10" s="18">
        <v>36993000000</v>
      </c>
      <c r="F10" s="8" t="s">
        <v>93</v>
      </c>
    </row>
    <row r="11" spans="1:6" x14ac:dyDescent="0.25">
      <c r="A11" t="s">
        <v>94</v>
      </c>
      <c r="B11" s="18">
        <v>9980000000</v>
      </c>
      <c r="C11" s="18">
        <v>6889000000</v>
      </c>
      <c r="D11" s="18">
        <v>6978000000</v>
      </c>
      <c r="E11" s="18">
        <v>7004000000</v>
      </c>
      <c r="F11" s="8" t="s">
        <v>95</v>
      </c>
    </row>
    <row r="12" spans="1:6" x14ac:dyDescent="0.25">
      <c r="A12" t="s">
        <v>32</v>
      </c>
      <c r="B12" s="34">
        <v>472300000</v>
      </c>
      <c r="C12" s="34">
        <v>489400000</v>
      </c>
      <c r="D12" s="34">
        <v>513600000</v>
      </c>
      <c r="E12" s="34">
        <v>530400000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2026-09-19T01:04:22Z</dcterms:modified>
</cp:coreProperties>
</file>