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<sst xmlns="http://schemas.openxmlformats.org/spreadsheetml/2006/main" count="121" uniqueCount="108">
  <si>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Caterpillar Inc. (CAT)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</si>
  <si>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</si>
  <si>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</si>
  <si>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</si>
  <si>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</si>
  <si>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</si>
  <si>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</si>
  <si>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</si>
  <si>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</si>
  <si>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</si>
  <si>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</si>
  <si>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</si>
  <si>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</si>
  <si>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</si>
  <si>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</si>
  <si>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</si>
  <si>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</si>
  <si>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</si>
  <si>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</si>
  <si>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</si>
  <si>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</si>
  <si>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</si>
  <si>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</si>
  <si>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</si>
  <si>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22.2x interest cover. Book interest / average debt was lower, at 1.2%.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</si>
  <si>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</si>
  <si>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</si>
  <si>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</si>
  <si>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</si>
  <si>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</si>
  <si>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</si>
  <si>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</si>
  <si>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</si>
  <si>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</si>
  <si>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</si>
  <si>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</si>
  <si>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</si>
  <si>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</si>
  <si>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</si>
  <si>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</si>
  <si>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</si>
  <si>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</si>
  <si>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</si>
  <si>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</si>
  <si>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</si>
  <si>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</si>
  <si>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</si>
  <si>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</si>
  <si>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</si>
  <si>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</si>
  <si>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</si>
  <si>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</si>
  <si>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</si>
  <si>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</si>
  <si>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</si>
  <si>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</si>
  <si>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</si>
  <si>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</si>
  <si>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</si>
  <si>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</si>
  <si>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</si>
  <si>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</si>
  <si>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</si>
  <si>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</si>
  <si>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</si>
  <si>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</si>
  <si>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</si>
  <si>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</si>
  <si>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</si>
  <si>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</si>
  <si>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</si>
  <si>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</si>
  <si>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</si>
  <si>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</si>
  <si>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</si>
  <si>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</si>
  <si>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</si>
  <si>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</si>
  <si>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</si>
  <si>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</si>
  <si>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</si>
  <si>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</si>
  <si>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</si>
  <si>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</si>
  <si>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</si>
  <si>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</si>
  <si>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</si>
  <si>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</si>
  <si>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</si>
  <si>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</si>
  <si>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</si>
  <si>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</si>
  <si>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</si>
  <si>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</si>
  <si>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</si>
  <si>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</si>
  <si>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</si>
  <si>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</si>
  <si>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</si>
  <si>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</si>
  <si>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</si>
  <si>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</si>
  <si>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</si>
  <si>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</si>
  <si>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</si>
  <si>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5.1% of revenue against depreciation of 3.4%.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</si>
  <si>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23.8x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</si>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</sst>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0.1785772930506444</v>
      </c>
    </row>
    <row r="7" spans="1:2" x14ac:dyDescent="0.25">
      <c r="A7" t="s">
        <v>4</v>
      </c>
      <c r="B7" s="5">
        <v>0.17715023012928865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0.03399974437853723</v>
      </c>
    </row>
    <row r="10" spans="1:3" x14ac:dyDescent="0.25">
      <c r="A10" t="s">
        <v>7</v>
      </c>
      <c r="B10" s="5">
        <v>0.0507155714137253</v>
      </c>
      <c r="C10" s="6" t="s">
        <v>8</v>
      </c>
    </row>
    <row r="11" spans="1:2" x14ac:dyDescent="0.25">
      <c r="A11" t="s">
        <v>9</v>
      </c>
      <c r="B11" s="5">
        <v>0.4301399232456564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0.1571592812893658</v>
      </c>
      <c r="C14" s="6" t="s">
        <v>13</v>
      </c>
    </row>
    <row r="15" spans="1:3" x14ac:dyDescent="0.25">
      <c r="A15" t="s">
        <v>14</v>
      </c>
      <c r="B15" s="5">
        <v>0.03399974437853723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286262525952</v>
      </c>
    </row>
    <row r="23" spans="1:2" x14ac:dyDescent="0.25">
      <c r="A23" t="s">
        <v>26</v>
      </c>
      <c r="B23" s="10">
        <v>43330000000</v>
      </c>
    </row>
    <row r="24" spans="1:2" x14ac:dyDescent="0.25">
      <c r="A24" t="s">
        <v>27</v>
      </c>
      <c r="B24" s="9">
        <f>B22/(B22+B23)</f>
        <v>0.8685346402354089</v>
      </c>
    </row>
    <row r="25" spans="1:2" x14ac:dyDescent="0.25">
      <c r="A25" t="s">
        <v>28</v>
      </c>
      <c r="B25" s="9">
        <f>1-B24</f>
        <v>0.13146535976459106</v>
      </c>
    </row>
    <row r="26" spans="1:2" x14ac:dyDescent="0.25">
      <c r="A26" t="s">
        <v>29</v>
      </c>
      <c r="B26" s="11">
        <f>B24*B20+B25*B21*(1-B8)</f>
        <v>0.0847433237303693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67589000000</v>
      </c>
      <c r="C29" s="6" t="s">
        <v>32</v>
      </c>
    </row>
    <row r="30" spans="1:2" x14ac:dyDescent="0.25">
      <c r="A30" t="s">
        <v>33</v>
      </c>
      <c r="B30" s="10">
        <v>33350000000</v>
      </c>
    </row>
    <row r="31" spans="1:2" x14ac:dyDescent="0.25">
      <c r="A31" t="s">
        <v>34</v>
      </c>
      <c r="B31" s="12">
        <v>472300000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0.1785772930506444</v>
      </c>
      <c r="C5" s="5">
        <v>0.10822465873314946</v>
      </c>
      <c r="D5" s="5">
        <v>0.09782157639150578</v>
      </c>
      <c r="E5" s="5">
        <v>0.0874184940498621</v>
      </c>
      <c r="F5" s="5">
        <v>0.0770154117082184</v>
      </c>
      <c r="G5" s="5">
        <v>0.06661232936657473</v>
      </c>
      <c r="H5" s="5">
        <v>0.05620924702493105</v>
      </c>
      <c r="I5" s="5">
        <v>0.04580616468328736</v>
      </c>
      <c r="J5" s="5">
        <v>0.035403082341643674</v>
      </c>
      <c r="K5" s="5">
        <v>0.024999999999999994</v>
      </c>
    </row>
    <row r="6" spans="1:11" x14ac:dyDescent="0.25">
      <c r="A6" t="s">
        <v>50</v>
      </c>
      <c r="B6" s="18">
        <f>Assumptions!B29*(1+B5)</f>
        <v>79658860660</v>
      </c>
      <c r="C6" s="18">
        <f>B6*(1+C5)</f>
        <v>88279913670</v>
      </c>
      <c r="D6" s="18">
        <f>C6*(1+D5)</f>
        <v>96915593988.90544</v>
      </c>
      <c r="E6" s="18">
        <f>D6*(1+E5)</f>
        <v>105387809265.36342</v>
      </c>
      <c r="F6" s="18">
        <f>E6*(1+F5)</f>
        <v>113504294784.96259</v>
      </c>
      <c r="G6" s="18">
        <f>F6*(1+G5)</f>
        <v>121065080253.69931</v>
      </c>
      <c r="H6" s="18">
        <f>G6*(1+H5)</f>
        <v>127870057255.77261</v>
      </c>
      <c r="I6" s="18">
        <f>H6*(1+I5)</f>
        <v>133727294156.49193</v>
      </c>
      <c r="J6" s="18">
        <f>I6*(1+J5)</f>
        <v>138461652562.83942</v>
      </c>
      <c r="K6" s="18">
        <f>J6*(1+K5)</f>
        <v>141923193876.9104</v>
      </c>
    </row>
    <row r="7" spans="1:11" x14ac:dyDescent="0.25">
      <c r="A7" t="s">
        <v>4</v>
      </c>
      <c r="B7" s="9">
        <f>Assumptions!B7</f>
        <v>0.17715023012928865</v>
      </c>
      <c r="C7" s="9">
        <f>Assumptions!B7</f>
        <v>0.17715023012928865</v>
      </c>
      <c r="D7" s="9">
        <f>Assumptions!B7</f>
        <v>0.17715023012928865</v>
      </c>
      <c r="E7" s="9">
        <f>Assumptions!B7</f>
        <v>0.17715023012928865</v>
      </c>
      <c r="F7" s="9">
        <f>Assumptions!B7</f>
        <v>0.17715023012928865</v>
      </c>
      <c r="G7" s="9">
        <f>Assumptions!B7</f>
        <v>0.17715023012928865</v>
      </c>
      <c r="H7" s="9">
        <f>Assumptions!B7</f>
        <v>0.17715023012928865</v>
      </c>
      <c r="I7" s="9">
        <f>Assumptions!B7</f>
        <v>0.17715023012928865</v>
      </c>
      <c r="J7" s="9">
        <f>Assumptions!B7</f>
        <v>0.17715023012928865</v>
      </c>
      <c r="K7" s="9">
        <f>Assumptions!B7</f>
        <v>0.17715023012928865</v>
      </c>
    </row>
    <row r="8" spans="1:11" x14ac:dyDescent="0.25">
      <c r="A8" t="s">
        <v>51</v>
      </c>
      <c r="B8" s="18">
        <f>B6*B7</f>
        <v>14111585497.75594</v>
      </c>
      <c r="C8" s="18">
        <f>C6*C7</f>
        <v>15638807022.434235</v>
      </c>
      <c r="D8" s="18">
        <f>D6*D7</f>
        <v>17168619778.251303</v>
      </c>
      <c r="E8" s="18">
        <f>E6*E7</f>
        <v>18669474664.18071</v>
      </c>
      <c r="F8" s="18">
        <f>F6*F7</f>
        <v>20107311941.81874</v>
      </c>
      <c r="G8" s="18">
        <f>G6*G7</f>
        <v>21446706827.563633</v>
      </c>
      <c r="H8" s="18">
        <f>H6*H7</f>
        <v>22652210069.505436</v>
      </c>
      <c r="I8" s="18">
        <f>I6*I7</f>
        <v>23689820934.38962</v>
      </c>
      <c r="J8" s="18">
        <f>J6*J7</f>
        <v>24528513615.58861</v>
      </c>
      <c r="K8" s="18">
        <f>K6*K7</f>
        <v>25141726455.97833</v>
      </c>
    </row>
    <row r="9" spans="1:11" x14ac:dyDescent="0.25">
      <c r="A9" t="s">
        <v>52</v>
      </c>
      <c r="B9" s="18">
        <f>B8*(1-Assumptions!B8)</f>
        <v>11148152543.227192</v>
      </c>
      <c r="C9" s="18">
        <f>C8*(1-Assumptions!B8)</f>
        <v>12354657547.723045</v>
      </c>
      <c r="D9" s="18">
        <f>D8*(1-Assumptions!B8)</f>
        <v>13563209624.81853</v>
      </c>
      <c r="E9" s="18">
        <f>E8*(1-Assumptions!B8)</f>
        <v>14748884984.70276</v>
      </c>
      <c r="F9" s="18">
        <f>F8*(1-Assumptions!B8)</f>
        <v>15884776434.036806</v>
      </c>
      <c r="G9" s="18">
        <f>G8*(1-Assumptions!B8)</f>
        <v>16942898393.77527</v>
      </c>
      <c r="H9" s="18">
        <f>H8*(1-Assumptions!B8)</f>
        <v>17895245954.909294</v>
      </c>
      <c r="I9" s="18">
        <f>I8*(1-Assumptions!B8)</f>
        <v>18714958538.1678</v>
      </c>
      <c r="J9" s="18">
        <f>J8*(1-Assumptions!B8)</f>
        <v>19377525756.315002</v>
      </c>
      <c r="K9" s="18">
        <f>K8*(1-Assumptions!B8)</f>
        <v>19861963900.22288</v>
      </c>
    </row>
    <row r="10" spans="1:11" x14ac:dyDescent="0.25">
      <c r="A10" t="s">
        <v>53</v>
      </c>
      <c r="B10" s="18">
        <f>B6*Assumptions!B9</f>
        <v>2708380899.925515</v>
      </c>
      <c r="C10" s="18">
        <f>C6*Assumptions!B9</f>
        <v>3001494498.5393343</v>
      </c>
      <c r="D10" s="18">
        <f>D6*Assumptions!B9</f>
        <v>3295105421.916884</v>
      </c>
      <c r="E10" s="18">
        <f>E6*Assumptions!B9</f>
        <v>3583158575.6363935</v>
      </c>
      <c r="F10" s="18">
        <f>F6*Assumptions!B9</f>
        <v>3859117008.554864</v>
      </c>
      <c r="G10" s="18">
        <f>G6*Assumptions!B9</f>
        <v>4116181781.7928715</v>
      </c>
      <c r="H10" s="18">
        <f>H6*Assumptions!B9</f>
        <v>4347549260.365189</v>
      </c>
      <c r="I10" s="18">
        <f>I6*Assumptions!B9</f>
        <v>4546693817.754181</v>
      </c>
      <c r="J10" s="18">
        <f>J6*Assumptions!B9</f>
        <v>4707660793.366374</v>
      </c>
      <c r="K10" s="18">
        <f>K6*Assumptions!B9</f>
        <v>4825352313.200534</v>
      </c>
    </row>
    <row r="11" spans="1:11" x14ac:dyDescent="0.25">
      <c r="A11" t="s">
        <v>54</v>
      </c>
      <c r="B11" s="18">
        <f>-B6*B19</f>
        <v>-4039944636.538223</v>
      </c>
      <c r="C11" s="18">
        <f>-C6*C19</f>
        <v>-4531570324.403572</v>
      </c>
      <c r="D11" s="18">
        <f>-D6*D19</f>
        <v>-5034581626.083453</v>
      </c>
      <c r="E11" s="18">
        <f>-E6*E19</f>
        <v>-5539644271.543362</v>
      </c>
      <c r="F11" s="18">
        <f>-F6*F19</f>
        <v>-6036231285.13403</v>
      </c>
      <c r="G11" s="18">
        <f>-G6*G19</f>
        <v>-6512927208.7115345</v>
      </c>
      <c r="H11" s="18">
        <f>-H6*H19</f>
        <v>-6957816127.56322</v>
      </c>
      <c r="I11" s="18">
        <f>-I6*I19</f>
        <v>-7358938809.301847</v>
      </c>
      <c r="J11" s="18">
        <f>-J6*J19</f>
        <v>-7704797368.386332</v>
      </c>
      <c r="K11" s="18">
        <f>-K6*K19</f>
        <v>-7984879981.129435</v>
      </c>
    </row>
    <row r="12" spans="1:11" x14ac:dyDescent="0.25">
      <c r="A12" t="s">
        <v>55</v>
      </c>
      <c r="B12" s="18">
        <f>-(B6-Assumptions!B29)*Assumptions!B11</f>
        <v>-5191728937.878168</v>
      </c>
      <c r="C12" s="18">
        <f>-(C6-B6)*Assumptions!B11</f>
        <v>-3708259080.018135</v>
      </c>
      <c r="D12" s="18">
        <f>-(D6-C6)*Assumptions!B11</f>
        <v>-3714550869.5480123</v>
      </c>
      <c r="E12" s="18">
        <f>-(E6-D6)*Assumptions!B11</f>
        <v>-3644238028.736312</v>
      </c>
      <c r="F12" s="18">
        <f>-(F6-E6)*Assumptions!B11</f>
        <v>-3491224458.4248676</v>
      </c>
      <c r="G12" s="18">
        <f>-(G6-F6)*Assumptions!B11</f>
        <v>-3252195681.1992893</v>
      </c>
      <c r="H12" s="18">
        <f>-(H6-G6)*Assumptions!B11</f>
        <v>-2927092285.3602676</v>
      </c>
      <c r="I12" s="18">
        <f>-(I6-H6)*Assumptions!B11</f>
        <v>-2519431430.9070325</v>
      </c>
      <c r="J12" s="18">
        <f>-(J6-I6)*Assumptions!B11</f>
        <v>-2036436561.523737</v>
      </c>
      <c r="K12" s="18">
        <f>-(K6-J6)*Assumptions!B11</f>
        <v>-1488947115.1461616</v>
      </c>
    </row>
    <row r="13" spans="1:11" x14ac:dyDescent="0.25">
      <c r="A13" s="19" t="s">
        <v>56</v>
      </c>
      <c r="B13" s="20">
        <f>B9+B10+B11+B12</f>
        <v>4624859868.736315</v>
      </c>
      <c r="C13" s="20">
        <f>C9+C10+C11+C12</f>
        <v>7116322641.840672</v>
      </c>
      <c r="D13" s="20">
        <f>D9+D10+D11+D12</f>
        <v>8109182551.103947</v>
      </c>
      <c r="E13" s="20">
        <f>E9+E10+E11+E12</f>
        <v>9148161260.059479</v>
      </c>
      <c r="F13" s="20">
        <f>F9+F10+F11+F12</f>
        <v>10216437699.032774</v>
      </c>
      <c r="G13" s="20">
        <f>G9+G10+G11+G12</f>
        <v>11293957285.657318</v>
      </c>
      <c r="H13" s="20">
        <f>H9+H10+H11+H12</f>
        <v>12357886802.350994</v>
      </c>
      <c r="I13" s="20">
        <f>I9+I10+I11+I12</f>
        <v>13383282115.713102</v>
      </c>
      <c r="J13" s="20">
        <f>J9+J10+J11+J12</f>
        <v>14343952619.771309</v>
      </c>
      <c r="K13" s="20">
        <f>K9+K10+K11+K12</f>
        <v>15213489117.14782</v>
      </c>
    </row>
    <row r="14" spans="1:11" x14ac:dyDescent="0.25">
      <c r="A14" t="s">
        <v>57</v>
      </c>
      <c r="B14" s="21">
        <f>1/(1+Assumptions!$B$26)^(1-0.5*Assumptions!$B$32)</f>
        <v>0.9601442978957166</v>
      </c>
      <c r="C14" s="21">
        <f>1/(1+Assumptions!$B$26)^(2-0.5*Assumptions!$B$32)</f>
        <v>0.8851350147921042</v>
      </c>
      <c r="D14" s="21">
        <f>1/(1+Assumptions!$B$26)^(3-0.5*Assumptions!$B$32)</f>
        <v>0.8159856764530954</v>
      </c>
      <c r="E14" s="21">
        <f>1/(1+Assumptions!$B$26)^(4-0.5*Assumptions!$B$32)</f>
        <v>0.7522384868403412</v>
      </c>
      <c r="F14" s="21">
        <f>1/(1+Assumptions!$B$26)^(5-0.5*Assumptions!$B$32)</f>
        <v>0.6934714142820781</v>
      </c>
      <c r="G14" s="21">
        <f>1/(1+Assumptions!$B$26)^(6-0.5*Assumptions!$B$32)</f>
        <v>0.6392953974561192</v>
      </c>
      <c r="H14" s="21">
        <f>1/(1+Assumptions!$B$26)^(7-0.5*Assumptions!$B$32)</f>
        <v>0.5893517696496343</v>
      </c>
      <c r="I14" s="21">
        <f>1/(1+Assumptions!$B$26)^(8-0.5*Assumptions!$B$32)</f>
        <v>0.5433098842432953</v>
      </c>
      <c r="J14" s="21">
        <f>1/(1+Assumptions!$B$26)^(9-0.5*Assumptions!$B$32)</f>
        <v>0.5008649256995509</v>
      </c>
      <c r="K14" s="21">
        <f>1/(1+Assumptions!$B$26)^(10-0.5*Assumptions!$B$32)</f>
        <v>0.461735891562905</v>
      </c>
    </row>
    <row r="15" spans="1:11" x14ac:dyDescent="0.25">
      <c r="A15" s="19" t="s">
        <v>58</v>
      </c>
      <c r="B15" s="20">
        <f>B13*B14</f>
        <v>4440532831.533905</v>
      </c>
      <c r="C15" s="20">
        <f>C13*C14</f>
        <v>6298906346.851029</v>
      </c>
      <c r="D15" s="20">
        <f>D13*D14</f>
        <v>6616976809.444192</v>
      </c>
      <c r="E15" s="20">
        <f>E13*E14</f>
        <v>6881598983.638572</v>
      </c>
      <c r="F15" s="20">
        <f>F13*F14</f>
        <v>7084807500.072998</v>
      </c>
      <c r="G15" s="20">
        <f>G13*G14</f>
        <v>7220174911.786728</v>
      </c>
      <c r="H15" s="20">
        <f>H13*H14</f>
        <v>7283142456.095419</v>
      </c>
      <c r="I15" s="20">
        <f>I13*I14</f>
        <v>7271269457.083449</v>
      </c>
      <c r="J15" s="20">
        <f>J13*J14</f>
        <v>7184382763.139635</v>
      </c>
      <c r="K15" s="20">
        <f>K13*K14</f>
        <v>7024613961.288801</v>
      </c>
    </row>
    <row r="17" spans="1:2" x14ac:dyDescent="0.25">
      <c r="A17" s="22" t="s">
        <v>59</v>
      </c>
      <c r="B17" s="23">
        <f>SUM(B15:K15)</f>
        <v>67306406020.93473</v>
      </c>
    </row>
    <row r="19" spans="1:11" x14ac:dyDescent="0.25">
      <c r="A19" t="s">
        <v>7</v>
      </c>
      <c r="B19" s="9">
        <f>Assumptions!$B$10+($B$20-Assumptions!$B$10)*0/9</f>
        <v>0.0507155714137253</v>
      </c>
      <c r="C19" s="9">
        <f>Assumptions!$B$10+($B$20-Assumptions!$B$10)*1/9</f>
        <v>0.051331839101509305</v>
      </c>
      <c r="D19" s="9">
        <f>Assumptions!$B$10+($B$20-Assumptions!$B$10)*2/9</f>
        <v>0.05194810678929331</v>
      </c>
      <c r="E19" s="9">
        <f>Assumptions!$B$10+($B$20-Assumptions!$B$10)*3/9</f>
        <v>0.05256437447707732</v>
      </c>
      <c r="F19" s="9">
        <f>Assumptions!$B$10+($B$20-Assumptions!$B$10)*4/9</f>
        <v>0.053180642164861326</v>
      </c>
      <c r="G19" s="9">
        <f>Assumptions!$B$10+($B$20-Assumptions!$B$10)*5/9</f>
        <v>0.05379690985264533</v>
      </c>
      <c r="H19" s="9">
        <f>Assumptions!$B$10+($B$20-Assumptions!$B$10)*6/9</f>
        <v>0.05441317754042934</v>
      </c>
      <c r="I19" s="9">
        <f>Assumptions!$B$10+($B$20-Assumptions!$B$10)*7/9</f>
        <v>0.05502944522821335</v>
      </c>
      <c r="J19" s="9">
        <f>Assumptions!$B$10+($B$20-Assumptions!$B$10)*8/9</f>
        <v>0.055645712915997354</v>
      </c>
      <c r="K19" s="9">
        <f>Assumptions!$B$10+($B$20-Assumptions!$B$10)*9/9</f>
        <v>0.05626198060378136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0.05626198060378136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15213489117.14782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19861963900.22288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0.15907428307698446</v>
      </c>
    </row>
    <row r="7" spans="1:2" x14ac:dyDescent="0.25">
      <c r="A7" t="s">
        <v>66</v>
      </c>
      <c r="B7" s="18">
        <f>-MAX(B5,0)*B6</f>
        <v>-3159527667.9289007</v>
      </c>
    </row>
    <row r="8" spans="1:2" x14ac:dyDescent="0.25">
      <c r="A8" t="s">
        <v>67</v>
      </c>
      <c r="B8" s="18">
        <f>IF(OR(Assumptions!$B$33=0,Assumptions!B12&lt;=0),B5,MAX(B5+B7,0))</f>
        <v>16702436232.29398</v>
      </c>
    </row>
    <row r="9" spans="1:2" x14ac:dyDescent="0.25">
      <c r="A9" t="s">
        <v>68</v>
      </c>
      <c r="B9" s="18">
        <f>B8*(1+Assumptions!B12)/(Assumptions!B26-Assumptions!B12)</f>
        <v>286559167939.2743</v>
      </c>
    </row>
    <row r="10" spans="1:2" x14ac:dyDescent="0.25">
      <c r="A10" t="s">
        <v>69</v>
      </c>
      <c r="B10" s="18">
        <f>B9/(1+Assumptions!B26)^(10-0.5*Assumptions!B32)</f>
        <v>132314652893.96504</v>
      </c>
    </row>
    <row r="11" spans="1:2" x14ac:dyDescent="0.25">
      <c r="A11" t="s">
        <v>70</v>
      </c>
      <c r="B11" s="18">
        <f>Forecast!B17+B10</f>
        <v>199621058914.89978</v>
      </c>
    </row>
    <row r="12" spans="1:2" x14ac:dyDescent="0.25">
      <c r="A12" t="s">
        <v>71</v>
      </c>
      <c r="B12" s="18">
        <f>-Assumptions!B30</f>
        <v>-33350000000</v>
      </c>
    </row>
    <row r="13" spans="1:2" x14ac:dyDescent="0.25">
      <c r="A13" t="s">
        <v>72</v>
      </c>
      <c r="B13" s="18">
        <f>B11+B12</f>
        <v>166271058914.89978</v>
      </c>
    </row>
    <row r="14" spans="1:2" x14ac:dyDescent="0.25">
      <c r="A14" s="19" t="s">
        <v>73</v>
      </c>
      <c r="B14" s="24">
        <f>B13/Assumptions!B31</f>
        <v>352.0454349246237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29967078769.178864</v>
      </c>
    </row>
    <row r="18" spans="1:2" x14ac:dyDescent="0.25">
      <c r="A18" t="s">
        <v>68</v>
      </c>
      <c r="B18" s="18">
        <f>B17*Assumptions!B13</f>
        <v>599341575383.5773</v>
      </c>
    </row>
    <row r="19" spans="1:2" x14ac:dyDescent="0.25">
      <c r="A19" t="s">
        <v>69</v>
      </c>
      <c r="B19" s="18">
        <f>B18/(1+Assumptions!B26)^(10-0.5*Assumptions!B32)</f>
        <v>276737516660.4521</v>
      </c>
    </row>
    <row r="20" spans="1:2" x14ac:dyDescent="0.25">
      <c r="A20" t="s">
        <v>70</v>
      </c>
      <c r="B20" s="18">
        <f>Forecast!B17+B19</f>
        <v>344043922681.38684</v>
      </c>
    </row>
    <row r="21" spans="1:2" x14ac:dyDescent="0.25">
      <c r="A21" t="s">
        <v>71</v>
      </c>
      <c r="B21" s="18">
        <f>-Assumptions!B30</f>
        <v>-33350000000</v>
      </c>
    </row>
    <row r="22" spans="1:2" x14ac:dyDescent="0.25">
      <c r="A22" t="s">
        <v>72</v>
      </c>
      <c r="B22" s="18">
        <f>B20+B21</f>
        <v>310693922681.38684</v>
      </c>
    </row>
    <row r="23" spans="1:2" x14ac:dyDescent="0.25">
      <c r="A23" s="19" t="s">
        <v>73</v>
      </c>
      <c r="B23" s="25">
        <f>B22/Assumptions!B31</f>
        <v>657.8317228062393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622.75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352.0454349246237</v>
      </c>
    </row>
    <row r="29" spans="1:2" x14ac:dyDescent="0.25">
      <c r="A29" s="19" t="s">
        <v>81</v>
      </c>
      <c r="B29" s="11">
        <f>B28/B26-1</f>
        <v>-0.4346921960262967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0.064743</v>
      </c>
      <c r="B5" s="31">
        <v>522.2402456298712</v>
      </c>
      <c r="C5" s="31">
        <v>551.6757651213735</v>
      </c>
      <c r="D5" s="31">
        <v>589.3126136492265</v>
      </c>
      <c r="E5" s="31">
        <v>638.6916465093249</v>
      </c>
      <c r="F5" s="31">
        <v>705.7346861467377</v>
      </c>
    </row>
    <row r="6" spans="1:6" x14ac:dyDescent="0.25">
      <c r="A6" s="30">
        <v>0.074743</v>
      </c>
      <c r="B6" s="31">
        <v>412.22012725664007</v>
      </c>
      <c r="C6" s="31">
        <v>427.50726023581797</v>
      </c>
      <c r="D6" s="31">
        <v>446.4673034901131</v>
      </c>
      <c r="E6" s="31">
        <v>470.33159273967766</v>
      </c>
      <c r="F6" s="31">
        <v>500.9511128102426</v>
      </c>
    </row>
    <row r="7" spans="1:6" x14ac:dyDescent="0.25">
      <c r="A7" s="30">
        <v>0.084743</v>
      </c>
      <c r="B7" s="31">
        <v>334.39302060011966</v>
      </c>
      <c r="C7" s="31">
        <v>342.3210359803645</v>
      </c>
      <c r="D7" s="32">
        <v>352.0479706679205</v>
      </c>
      <c r="E7" s="31">
        <v>364.06674228896225</v>
      </c>
      <c r="F7" s="31">
        <v>379.068454194761</v>
      </c>
    </row>
    <row r="8" spans="1:6" x14ac:dyDescent="0.25">
      <c r="A8" s="30">
        <v>0.094743</v>
      </c>
      <c r="B8" s="31">
        <v>276.6016226785336</v>
      </c>
      <c r="C8" s="31">
        <v>280.4259169648046</v>
      </c>
      <c r="D8" s="31">
        <v>285.1809223204054</v>
      </c>
      <c r="E8" s="31">
        <v>291.08227079883915</v>
      </c>
      <c r="F8" s="31">
        <v>298.41778100383317</v>
      </c>
    </row>
    <row r="9" spans="1:6" x14ac:dyDescent="0.25">
      <c r="A9" s="30">
        <v>0.104743</v>
      </c>
      <c r="B9" s="31">
        <v>232.1111973064133</v>
      </c>
      <c r="C9" s="31">
        <v>233.54093703271442</v>
      </c>
      <c r="D9" s="31">
        <v>235.46656377227254</v>
      </c>
      <c r="E9" s="31">
        <v>237.9875959441886</v>
      </c>
      <c r="F9" s="31">
        <v>241.23209057906578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67589000000</v>
      </c>
      <c r="C5" s="18">
        <v>64809000000</v>
      </c>
      <c r="D5" s="18">
        <v>67060000000</v>
      </c>
      <c r="E5" s="18">
        <v>59427000000</v>
      </c>
      <c r="F5" s="6" t="s">
        <v>91</v>
      </c>
    </row>
    <row r="6" spans="1:6" x14ac:dyDescent="0.25">
      <c r="A6" t="s">
        <v>51</v>
      </c>
      <c r="B6" s="18">
        <v>11151000000</v>
      </c>
      <c r="C6" s="18">
        <v>13072000000</v>
      </c>
      <c r="D6" s="18">
        <v>12966000000</v>
      </c>
      <c r="E6" s="18">
        <v>8829000000</v>
      </c>
      <c r="F6" s="6" t="s">
        <v>92</v>
      </c>
    </row>
    <row r="7" spans="1:6" x14ac:dyDescent="0.25">
      <c r="A7" t="s">
        <v>93</v>
      </c>
      <c r="B7" s="18">
        <v>2262000000</v>
      </c>
      <c r="C7" s="18">
        <v>2153000000</v>
      </c>
      <c r="D7" s="18">
        <v>2144000000</v>
      </c>
      <c r="E7" s="18">
        <v>2219000000</v>
      </c>
      <c r="F7" s="6" t="s">
        <v>94</v>
      </c>
    </row>
    <row r="8" spans="1:6" x14ac:dyDescent="0.25">
      <c r="A8" t="s">
        <v>95</v>
      </c>
      <c r="B8" s="18">
        <v>4286000000</v>
      </c>
      <c r="C8" s="18">
        <v>3215000000</v>
      </c>
      <c r="D8" s="18">
        <v>3092000000</v>
      </c>
      <c r="E8" s="18">
        <v>2599000000</v>
      </c>
      <c r="F8" s="6" t="s">
        <v>96</v>
      </c>
    </row>
    <row r="9" spans="1:6" x14ac:dyDescent="0.25">
      <c r="A9" t="s">
        <v>97</v>
      </c>
      <c r="B9" s="18">
        <v>348000000</v>
      </c>
      <c r="C9" s="18">
        <v>859000000</v>
      </c>
      <c r="D9" s="18">
        <v>-151000000</v>
      </c>
      <c r="E9" s="18">
        <v>1800000000</v>
      </c>
      <c r="F9" s="6" t="s">
        <v>98</v>
      </c>
    </row>
    <row r="10" spans="1:6" x14ac:dyDescent="0.25">
      <c r="A10" t="s">
        <v>99</v>
      </c>
      <c r="B10" s="18">
        <v>43330000000</v>
      </c>
      <c r="C10" s="18">
        <v>38409000000</v>
      </c>
      <c r="D10" s="18">
        <v>37878000000</v>
      </c>
      <c r="E10" s="18">
        <v>36993000000</v>
      </c>
      <c r="F10" s="6" t="s">
        <v>100</v>
      </c>
    </row>
    <row r="11" spans="1:6" x14ac:dyDescent="0.25">
      <c r="A11" t="s">
        <v>101</v>
      </c>
      <c r="B11" s="18">
        <v>9980000000</v>
      </c>
      <c r="C11" s="18">
        <v>6889000000</v>
      </c>
      <c r="D11" s="18">
        <v>6978000000</v>
      </c>
      <c r="E11" s="18">
        <v>7004000000</v>
      </c>
      <c r="F11" s="6" t="s">
        <v>102</v>
      </c>
    </row>
    <row r="12" spans="1:6" x14ac:dyDescent="0.25">
      <c r="A12" t="s">
        <v>34</v>
      </c>
      <c r="B12" s="34">
        <v>472300000</v>
      </c>
      <c r="C12" s="34">
        <v>489400000</v>
      </c>
      <c r="D12" s="34">
        <v>513600000</v>
      </c>
      <c r="E12" s="34">
        <v>530400000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