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<sst xmlns="http://schemas.openxmlformats.org/spreadsheetml/2006/main" count="114" uniqueCount="101">
  <si>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Commonwealth Bank of Australia (CBA.AX)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</si>
  <si>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</si>
  <si>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</si>
  <si>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</si>
  <si>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</si>
  <si>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</si>
  <si>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</si>
  <si>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</si>
  <si>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</si>
  <si>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</si>
  <si>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</si>
  <si>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</si>
  <si>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</si>
  <si>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</si>
  <si>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</si>
  <si>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</si>
  <si>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</si>
  <si>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</si>
  <si>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</si>
  <si>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</si>
  <si>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</si>
  <si>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</si>
  <si>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18.5%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</si>
  <si>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</si>
  <si>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</si>
  <si>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</si>
  <si>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</si>
  <si>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</si>
  <si>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</si>
  <si>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</si>
  <si>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</si>
  <si>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</si>
  <si>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</si>
  <si>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</si>
  <si>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</si>
  <si>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</si>
  <si>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</si>
  <si>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</si>
  <si>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</si>
  <si>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</si>
  <si>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</si>
  <si>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</si>
  <si>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</si>
  <si>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</si>
  <si>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</si>
  <si>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</si>
  <si>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</si>
  <si>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</si>
  <si>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</si>
  <si>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</si>
  <si>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</si>
  <si>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</si>
  <si>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</si>
  <si>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</si>
  <si>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</si>
  <si>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</si>
  <si>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</si>
  <si>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</si>
  <si>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</si>
  <si>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</si>
  <si>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</si>
  <si>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</si>
  <si>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</si>
  <si>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</si>
  <si>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</si>
  <si>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</si>
  <si>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</si>
  <si>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</si>
  <si>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</si>
  <si>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</si>
  <si>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</si>
  <si>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</si>
  <si>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</si>
  <si>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</si>
  <si>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</si>
  <si>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</si>
  <si>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</si>
  <si>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</si>
  <si>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</si>
  <si>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</si>
  <si>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</si>
  <si>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</si>
  <si>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</si>
  <si>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</si>
  <si>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</si>
  <si>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</si>
  <si>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</si>
  <si>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</si>
  <si>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</si>
  <si>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</si>
  <si>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</si>
  <si>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</si>
  <si>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</si>
  <si>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</si>
  <si>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</si>
  <si>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</si>
  <si>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</si>
  <si>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</si>
  <si>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</si>
  <si>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Current EV/EBITDA of 24.8x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</si>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</sst>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0.03751129119959562</v>
      </c>
    </row>
    <row r="7" spans="1:2" x14ac:dyDescent="0.25">
      <c r="A7" t="s">
        <v>5</v>
      </c>
      <c r="B7" s="6">
        <v>0.5178820885185274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0.048887977817443445</v>
      </c>
    </row>
    <row r="10" spans="1:2" x14ac:dyDescent="0.25">
      <c r="A10" t="s">
        <v>8</v>
      </c>
      <c r="B10" s="6">
        <v>0.058237647956684666</v>
      </c>
    </row>
    <row r="11" spans="1:2" x14ac:dyDescent="0.25">
      <c r="A11" t="s">
        <v>9</v>
      </c>
      <c r="B11" s="6">
        <v>-0.19745649263721554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0.08046661418341025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0.86533</v>
      </c>
      <c r="C19" s="8" t="s">
        <v>19</v>
      </c>
    </row>
    <row r="20" spans="1:2" x14ac:dyDescent="0.25">
      <c r="A20" t="s">
        <v>20</v>
      </c>
      <c r="B20" s="10">
        <f>B17+B19*B18</f>
        <v>0.1053998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254837129216</v>
      </c>
    </row>
    <row r="23" spans="1:2" x14ac:dyDescent="0.25">
      <c r="A23" t="s">
        <v>24</v>
      </c>
      <c r="B23" s="11">
        <v>218869000000</v>
      </c>
    </row>
    <row r="24" spans="1:2" x14ac:dyDescent="0.25">
      <c r="A24" t="s">
        <v>25</v>
      </c>
      <c r="B24" s="10">
        <f>B22/(B22+B23)</f>
        <v>0.5379646018888635</v>
      </c>
    </row>
    <row r="25" spans="1:2" x14ac:dyDescent="0.25">
      <c r="A25" t="s">
        <v>26</v>
      </c>
      <c r="B25" s="10">
        <f>1-B24</f>
        <v>0.4620353981111365</v>
      </c>
    </row>
    <row r="26" spans="1:2" x14ac:dyDescent="0.25">
      <c r="A26" t="s">
        <v>27</v>
      </c>
      <c r="B26" s="12">
        <f>B24*B20+B25*B21*(1-B8)</f>
        <v>0.08046661418341025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29907000000</v>
      </c>
      <c r="C29" s="8" t="s">
        <v>30</v>
      </c>
    </row>
    <row r="30" spans="1:2" x14ac:dyDescent="0.25">
      <c r="A30" t="s">
        <v>31</v>
      </c>
      <c r="B30" s="11">
        <v>169219000000</v>
      </c>
    </row>
    <row r="31" spans="1:2" x14ac:dyDescent="0.25">
      <c r="A31" t="s">
        <v>32</v>
      </c>
      <c r="B31" s="13">
        <v>1674000000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0.03751129119959562</v>
      </c>
      <c r="C5" s="10">
        <f>Assumptions!B6</f>
        <v>0.03751129119959562</v>
      </c>
      <c r="D5" s="10">
        <f>Assumptions!B6</f>
        <v>0.03751129119959562</v>
      </c>
      <c r="E5" s="10">
        <f>Assumptions!B6</f>
        <v>0.03751129119959562</v>
      </c>
      <c r="F5" s="10">
        <f>Assumptions!B6</f>
        <v>0.03751129119959562</v>
      </c>
    </row>
    <row r="6" spans="1:6" x14ac:dyDescent="0.25">
      <c r="A6" t="s">
        <v>43</v>
      </c>
      <c r="B6" s="18">
        <f>Assumptions!B29*(1+B5)</f>
        <v>31028850185.906307</v>
      </c>
      <c r="C6" s="18">
        <f>B6*(1+C5)</f>
        <v>32192782420.818466</v>
      </c>
      <c r="D6" s="18">
        <f>C6*(1+D5)</f>
        <v>33400375256.73101</v>
      </c>
      <c r="E6" s="18">
        <f>D6*(1+E5)</f>
        <v>34653266459.16202</v>
      </c>
      <c r="F6" s="18">
        <f>E6*(1+F5)</f>
        <v>35953155228.32883</v>
      </c>
    </row>
    <row r="7" spans="1:6" x14ac:dyDescent="0.25">
      <c r="A7" t="s">
        <v>5</v>
      </c>
      <c r="B7" s="10">
        <f>Assumptions!B7</f>
        <v>0.5178820885185274</v>
      </c>
      <c r="C7" s="10">
        <f>Assumptions!B7</f>
        <v>0.5178820885185274</v>
      </c>
      <c r="D7" s="10">
        <f>Assumptions!B7</f>
        <v>0.5178820885185274</v>
      </c>
      <c r="E7" s="10">
        <f>Assumptions!B7</f>
        <v>0.5178820885185274</v>
      </c>
      <c r="F7" s="10">
        <f>Assumptions!B7</f>
        <v>0.5178820885185274</v>
      </c>
    </row>
    <row r="8" spans="1:6" x14ac:dyDescent="0.25">
      <c r="A8" t="s">
        <v>44</v>
      </c>
      <c r="B8" s="18">
        <f>B6*B7</f>
        <v>16069285738.605654</v>
      </c>
      <c r="C8" s="18">
        <f>C6*C7</f>
        <v>16672065395.316</v>
      </c>
      <c r="D8" s="18">
        <f>D6*D7</f>
        <v>17297456095.2584</v>
      </c>
      <c r="E8" s="18">
        <f>E6*E7</f>
        <v>17946306007.85986</v>
      </c>
      <c r="F8" s="18">
        <f>F6*F7</f>
        <v>18619495118.477745</v>
      </c>
    </row>
    <row r="9" spans="1:6" x14ac:dyDescent="0.25">
      <c r="A9" t="s">
        <v>45</v>
      </c>
      <c r="B9" s="18">
        <f>B8*(1-Assumptions!B8)</f>
        <v>11248500017.023956</v>
      </c>
      <c r="C9" s="18">
        <f>C8*(1-Assumptions!B8)</f>
        <v>11670445776.721199</v>
      </c>
      <c r="D9" s="18">
        <f>D8*(1-Assumptions!B8)</f>
        <v>12108219266.68088</v>
      </c>
      <c r="E9" s="18">
        <f>E8*(1-Assumptions!B8)</f>
        <v>12562414205.501902</v>
      </c>
      <c r="F9" s="18">
        <f>F8*(1-Assumptions!B8)</f>
        <v>13033646582.934422</v>
      </c>
    </row>
    <row r="10" spans="1:6" x14ac:dyDescent="0.25">
      <c r="A10" t="s">
        <v>46</v>
      </c>
      <c r="B10" s="18">
        <f>B6*Assumptions!B9</f>
        <v>1516937739.5893636</v>
      </c>
      <c r="C10" s="18">
        <f>C6*Assumptions!B9</f>
        <v>1573840032.8707564</v>
      </c>
      <c r="D10" s="18">
        <f>D6*Assumptions!B9</f>
        <v>1632876804.6453526</v>
      </c>
      <c r="E10" s="18">
        <f>E6*Assumptions!B9</f>
        <v>1694128121.9574697</v>
      </c>
      <c r="F10" s="18">
        <f>F6*Assumptions!B9</f>
        <v>1757677055.2696404</v>
      </c>
    </row>
    <row r="11" spans="1:6" x14ac:dyDescent="0.25">
      <c r="A11" t="s">
        <v>47</v>
      </c>
      <c r="B11" s="18">
        <f>-B6*Assumptions!B10</f>
        <v>-1807047253.627521</v>
      </c>
      <c r="C11" s="18">
        <f>-C6*Assumptions!B10</f>
        <v>-1874831929.3697727</v>
      </c>
      <c r="D11" s="18">
        <f>-D6*Assumptions!B10</f>
        <v>-1945159295.8226619</v>
      </c>
      <c r="E11" s="18">
        <f>-E6*Assumptions!B10</f>
        <v>-2018124732.597866</v>
      </c>
      <c r="F11" s="18">
        <f>-F6*Assumptions!B10</f>
        <v>-2093827197.1194508</v>
      </c>
    </row>
    <row r="12" spans="1:6" x14ac:dyDescent="0.25">
      <c r="A12" t="s">
        <v>48</v>
      </c>
      <c r="B12" s="18">
        <f>-(B6-Assumptions!B29)*Assumptions!B11</f>
        <v>221516602.97346765</v>
      </c>
      <c r="C12" s="18">
        <f>-(C6-B6)*Assumptions!B11</f>
        <v>229825976.77315053</v>
      </c>
      <c r="D12" s="18">
        <f>-(D6-C6)*Assumptions!B11</f>
        <v>238447045.91311952</v>
      </c>
      <c r="E12" s="18">
        <f>-(E6-D6)*Assumptions!B11</f>
        <v>247391502.48805034</v>
      </c>
      <c r="F12" s="18">
        <f>-(F6-E6)*Assumptions!B11</f>
        <v>256671477.17818522</v>
      </c>
    </row>
    <row r="13" spans="1:6" x14ac:dyDescent="0.25">
      <c r="A13" s="19" t="s">
        <v>49</v>
      </c>
      <c r="B13" s="20">
        <f>B9+B10+B11+B12</f>
        <v>11179907105.959265</v>
      </c>
      <c r="C13" s="20">
        <f>C9+C10+C11+C12</f>
        <v>11599279856.995335</v>
      </c>
      <c r="D13" s="20">
        <f>D9+D10+D11+D12</f>
        <v>12034383821.41669</v>
      </c>
      <c r="E13" s="20">
        <f>E9+E10+E11+E12</f>
        <v>12485809097.349556</v>
      </c>
      <c r="F13" s="20">
        <f>F9+F10+F11+F12</f>
        <v>12954167918.262794</v>
      </c>
    </row>
    <row r="14" spans="1:6" x14ac:dyDescent="0.25">
      <c r="A14" t="s">
        <v>50</v>
      </c>
      <c r="B14" s="21">
        <f>1/(1+Assumptions!$B$26)^(1-0.5*Assumptions!$B$32)</f>
        <v>0.9620426457480352</v>
      </c>
      <c r="C14" s="21">
        <f>1/(1+Assumptions!$B$26)^(2-0.5*Assumptions!$B$32)</f>
        <v>0.8903955320036641</v>
      </c>
      <c r="D14" s="21">
        <f>1/(1+Assumptions!$B$26)^(3-0.5*Assumptions!$B$32)</f>
        <v>0.8240842616655979</v>
      </c>
      <c r="E14" s="21">
        <f>1/(1+Assumptions!$B$26)^(4-0.5*Assumptions!$B$32)</f>
        <v>0.7627114534107287</v>
      </c>
      <c r="F14" s="21">
        <f>1/(1+Assumptions!$B$26)^(5-0.5*Assumptions!$B$32)</f>
        <v>0.7059093204718473</v>
      </c>
    </row>
    <row r="15" spans="1:6" x14ac:dyDescent="0.25">
      <c r="A15" s="19" t="s">
        <v>51</v>
      </c>
      <c r="B15" s="20">
        <f>B13*B14</f>
        <v>10755547411.43431</v>
      </c>
      <c r="C15" s="20">
        <f>C13*C14</f>
        <v>10327946959.128746</v>
      </c>
      <c r="D15" s="20">
        <f>D13*D14</f>
        <v>9917346306.07259</v>
      </c>
      <c r="E15" s="20">
        <f>E13*E14</f>
        <v>9523069603.648378</v>
      </c>
      <c r="F15" s="20">
        <f>F13*F14</f>
        <v>9144467872.459093</v>
      </c>
    </row>
    <row r="17" spans="1:2" x14ac:dyDescent="0.25">
      <c r="A17" s="22" t="s">
        <v>52</v>
      </c>
      <c r="B17" s="23">
        <f>SUM(B15:F15)</f>
        <v>49668378152.74312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12954167918.262794</v>
      </c>
    </row>
    <row r="5" spans="1:2" x14ac:dyDescent="0.25">
      <c r="A5" t="s">
        <v>56</v>
      </c>
      <c r="B5" s="18">
        <f>IF(Assumptions!$B$33=0,B4,B4-Forecast!F11-Forecast!F10-Forecast!F12)</f>
        <v>13220829901.6444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0.3106878579856319</v>
      </c>
    </row>
    <row r="7" spans="1:2" x14ac:dyDescent="0.25">
      <c r="A7" t="s">
        <v>58</v>
      </c>
      <c r="B7" s="18">
        <f>-MAX(Forecast!F9,0)*B6</f>
        <v>-4107551322.9342914</v>
      </c>
    </row>
    <row r="8" spans="1:2" x14ac:dyDescent="0.25">
      <c r="A8" t="s">
        <v>59</v>
      </c>
      <c r="B8" s="18">
        <f>IF(OR(Assumptions!$B$33=0,Assumptions!B12&lt;=0),B5,MAX(B5+B7,0))</f>
        <v>9113278578.710108</v>
      </c>
    </row>
    <row r="9" spans="1:2" x14ac:dyDescent="0.25">
      <c r="A9" t="s">
        <v>60</v>
      </c>
      <c r="B9" s="18">
        <f>B8*(1+Assumptions!B12)/(Assumptions!B26-Assumptions!B12)</f>
        <v>168409604240.30594</v>
      </c>
    </row>
    <row r="10" spans="1:2" x14ac:dyDescent="0.25">
      <c r="A10" t="s">
        <v>61</v>
      </c>
      <c r="B10" s="18">
        <f>B9/(1+Assumptions!B26)^(5-0.5*Assumptions!B32)</f>
        <v>118881909290.20709</v>
      </c>
    </row>
    <row r="11" spans="1:2" x14ac:dyDescent="0.25">
      <c r="A11" t="s">
        <v>62</v>
      </c>
      <c r="B11" s="18">
        <f>Forecast!B17+B10</f>
        <v>168550287442.9502</v>
      </c>
    </row>
    <row r="12" spans="1:2" x14ac:dyDescent="0.25">
      <c r="A12" t="s">
        <v>63</v>
      </c>
      <c r="B12" s="18">
        <f>-Assumptions!B30</f>
        <v>-169219000000</v>
      </c>
    </row>
    <row r="13" spans="1:2" x14ac:dyDescent="0.25">
      <c r="A13" t="s">
        <v>64</v>
      </c>
      <c r="B13" s="18">
        <f>B11+B12</f>
        <v>-668712557.0498047</v>
      </c>
    </row>
    <row r="14" spans="1:2" x14ac:dyDescent="0.25">
      <c r="A14" s="19" t="s">
        <v>65</v>
      </c>
      <c r="B14" s="24">
        <f>B13/Assumptions!B31</f>
        <v>-0.39946986681589286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20377172173.747387</v>
      </c>
    </row>
    <row r="18" spans="1:2" x14ac:dyDescent="0.25">
      <c r="A18" t="s">
        <v>60</v>
      </c>
      <c r="B18" s="18">
        <f>B17*Assumptions!B13</f>
        <v>407543443474.94775</v>
      </c>
    </row>
    <row r="19" spans="1:2" x14ac:dyDescent="0.25">
      <c r="A19" t="s">
        <v>61</v>
      </c>
      <c r="B19" s="18">
        <f>B18/(1+Assumptions!B26)^(5-0.5*Assumptions!B32)</f>
        <v>287688715246.1571</v>
      </c>
    </row>
    <row r="20" spans="1:2" x14ac:dyDescent="0.25">
      <c r="A20" t="s">
        <v>62</v>
      </c>
      <c r="B20" s="18">
        <f>Forecast!B17+B19</f>
        <v>337357093398.9002</v>
      </c>
    </row>
    <row r="21" spans="1:2" x14ac:dyDescent="0.25">
      <c r="A21" t="s">
        <v>63</v>
      </c>
      <c r="B21" s="18">
        <f>-Assumptions!B30</f>
        <v>-169219000000</v>
      </c>
    </row>
    <row r="22" spans="1:2" x14ac:dyDescent="0.25">
      <c r="A22" t="s">
        <v>64</v>
      </c>
      <c r="B22" s="18">
        <f>B20+B21</f>
        <v>168138093398.9002</v>
      </c>
    </row>
    <row r="23" spans="1:2" x14ac:dyDescent="0.25">
      <c r="A23" s="19" t="s">
        <v>65</v>
      </c>
      <c r="B23" s="25">
        <f>B22/Assumptions!B31</f>
        <v>100.44091600890096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152.43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-0.39946986681589286</v>
      </c>
    </row>
    <row r="29" spans="1:2" x14ac:dyDescent="0.25">
      <c r="A29" s="19" t="s">
        <v>73</v>
      </c>
      <c r="B29" s="12">
        <f>B28/B26-1</f>
        <v>-1.0026206774704185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0.060467</v>
      </c>
      <c r="B5" s="31">
        <v>31.758381281410355</v>
      </c>
      <c r="C5" s="31">
        <v>32.2598197319854</v>
      </c>
      <c r="D5" s="31">
        <v>32.76125818256044</v>
      </c>
      <c r="E5" s="31">
        <v>33.26269663313547</v>
      </c>
      <c r="F5" s="31">
        <v>33.7641350837105</v>
      </c>
    </row>
    <row r="6" spans="1:6" x14ac:dyDescent="0.25">
      <c r="A6" s="30">
        <v>0.070467</v>
      </c>
      <c r="B6" s="31">
        <v>12.995728180704862</v>
      </c>
      <c r="C6" s="31">
        <v>13.40821275298642</v>
      </c>
      <c r="D6" s="31">
        <v>13.820697325267979</v>
      </c>
      <c r="E6" s="31">
        <v>14.233181897549537</v>
      </c>
      <c r="F6" s="31">
        <v>14.645666469831058</v>
      </c>
    </row>
    <row r="7" spans="1:6" x14ac:dyDescent="0.25">
      <c r="A7" s="30">
        <v>0.080467</v>
      </c>
      <c r="B7" s="31">
        <v>-1.0927912613312096</v>
      </c>
      <c r="C7" s="31">
        <v>-0.7463706876863505</v>
      </c>
      <c r="D7" s="32">
        <v>-0.3999501140415096</v>
      </c>
      <c r="E7" s="31">
        <v>-0.05352954039666872</v>
      </c>
      <c r="F7" s="31">
        <v>0.2928910332481904</v>
      </c>
    </row>
    <row r="8" spans="1:6" x14ac:dyDescent="0.25">
      <c r="A8" s="30">
        <v>0.090467</v>
      </c>
      <c r="B8" s="31">
        <v>-12.057719091471938</v>
      </c>
      <c r="C8" s="31">
        <v>-11.762103928640604</v>
      </c>
      <c r="D8" s="31">
        <v>-11.46648876580931</v>
      </c>
      <c r="E8" s="31">
        <v>-11.170873602977995</v>
      </c>
      <c r="F8" s="31">
        <v>-10.875258440146698</v>
      </c>
    </row>
    <row r="9" spans="1:6" x14ac:dyDescent="0.25">
      <c r="A9" s="30">
        <v>0.100467</v>
      </c>
      <c r="B9" s="31">
        <v>-20.83223324890854</v>
      </c>
      <c r="C9" s="31">
        <v>-20.5767554139087</v>
      </c>
      <c r="D9" s="31">
        <v>-20.321277578908877</v>
      </c>
      <c r="E9" s="31">
        <v>-20.065799743909018</v>
      </c>
      <c r="F9" s="31">
        <v>-19.810321908909195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29907000000</v>
      </c>
      <c r="C5" s="18">
        <v>28413000000</v>
      </c>
      <c r="D5" s="18">
        <v>27198000000</v>
      </c>
      <c r="E5" s="18">
        <v>26779000000</v>
      </c>
      <c r="F5" s="8" t="s">
        <v>84</v>
      </c>
    </row>
    <row r="6" spans="1:6" x14ac:dyDescent="0.25">
      <c r="A6" t="s">
        <v>44</v>
      </c>
      <c r="B6" s="18">
        <v>15580000000</v>
      </c>
      <c r="C6" s="18">
        <v>14549000000</v>
      </c>
      <c r="D6" s="18">
        <v>13782000000</v>
      </c>
      <c r="E6" s="18">
        <v>14241000000</v>
      </c>
      <c r="F6" s="8" t="s">
        <v>85</v>
      </c>
    </row>
    <row r="7" spans="1:6" x14ac:dyDescent="0.25">
      <c r="A7" t="s">
        <v>86</v>
      </c>
      <c r="B7" s="18">
        <v>1490000000</v>
      </c>
      <c r="C7" s="18">
        <v>1398000000</v>
      </c>
      <c r="D7" s="18">
        <v>1498000000</v>
      </c>
      <c r="E7" s="18">
        <v>1110000000</v>
      </c>
      <c r="F7" s="8" t="s">
        <v>87</v>
      </c>
    </row>
    <row r="8" spans="1:6" x14ac:dyDescent="0.25">
      <c r="A8" t="s">
        <v>88</v>
      </c>
      <c r="B8" s="18">
        <v>2040000000</v>
      </c>
      <c r="C8" s="18">
        <v>1636000000</v>
      </c>
      <c r="D8" s="18">
        <v>1322000000</v>
      </c>
      <c r="E8" s="18">
        <v>1568000000</v>
      </c>
      <c r="F8" s="8" t="s">
        <v>89</v>
      </c>
    </row>
    <row r="9" spans="1:6" x14ac:dyDescent="0.25">
      <c r="A9" t="s">
        <v>90</v>
      </c>
      <c r="B9" s="18">
        <v>-295000000</v>
      </c>
      <c r="C9" s="18">
        <v>149000000</v>
      </c>
      <c r="D9" s="18">
        <v>-1865000000</v>
      </c>
      <c r="E9" s="18">
        <v>21195000000</v>
      </c>
      <c r="F9" s="8" t="s">
        <v>85</v>
      </c>
    </row>
    <row r="10" spans="1:6" x14ac:dyDescent="0.25">
      <c r="A10" t="s">
        <v>91</v>
      </c>
      <c r="B10" s="18">
        <v>218869000000</v>
      </c>
      <c r="C10" s="18">
        <v>216232000000</v>
      </c>
      <c r="D10" s="18">
        <v>186685000000</v>
      </c>
      <c r="E10" s="18">
        <v>161553000000</v>
      </c>
      <c r="F10" s="8" t="s">
        <v>92</v>
      </c>
    </row>
    <row r="11" spans="1:6" x14ac:dyDescent="0.25">
      <c r="A11" t="s">
        <v>93</v>
      </c>
      <c r="B11" s="18">
        <v>49650000000</v>
      </c>
      <c r="C11" s="18">
        <v>55503000000</v>
      </c>
      <c r="D11" s="18">
        <v>48110000000</v>
      </c>
      <c r="E11" s="18">
        <v>108008000000</v>
      </c>
      <c r="F11" s="8" t="s">
        <v>94</v>
      </c>
    </row>
    <row r="12" spans="1:6" x14ac:dyDescent="0.25">
      <c r="A12" t="s">
        <v>32</v>
      </c>
      <c r="B12" s="34">
        <v>1674000000</v>
      </c>
      <c r="C12" s="34">
        <v>1675000000</v>
      </c>
      <c r="D12" s="34">
        <v>1784000000</v>
      </c>
      <c r="E12" s="34">
        <v>1800000000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38" customHeight="1" spans="1:6" x14ac:dyDescent="0.25">
      <c r="A18" s="35" t="s">
        <v>99</v>
      </c>
      <c r="B18" s="35"/>
      <c r="C18" s="35"/>
      <c r="D18" s="35"/>
      <c r="E18" s="35"/>
      <c r="F18" s="35"/>
    </row>
    <row r="20" spans="1:1" x14ac:dyDescent="0.25">
      <c r="A20" s="36" t="s">
        <v>100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2026-09-19T00:06:23Z</dcterms:modified>
</cp:coreProperties>
</file>