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<sst xmlns="http://schemas.openxmlformats.org/spreadsheetml/2006/main" count="115" uniqueCount="102">
  <si>
    <t>Commerzbank AG (CBK.DE)</t>
  </si>
  <si>
    <t>DCF Studio - Base case</t>
  </si>
  <si>
    <t>Blue figures on a cream fill are inputs. Every other figure is a formula - change an input and the model reprices. Currency figures are EUR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</si>
  <si>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</si>
  <si>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</si>
  <si>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</si>
  <si>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</si>
  <si>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</si>
  <si>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</si>
  <si>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</si>
  <si>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</si>
  <si>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</si>
  <si>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</si>
  <si>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</si>
  <si>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</si>
  <si>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</si>
  <si>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EUR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</si>
  <si>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</si>
  <si>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</si>
  <si>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</si>
  <si>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</si>
  <si>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</si>
  <si>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Implied cost of debt of 17.7% is not a credible funding cost, so risk-free + 2bp is assumed instead. Interest expense and reported debt are measuring different things - common for banks, whose interest expense includes deposits that total debt excludes.</t>
  </si>
  <si>
    <t>Market capitalisation (EUR m)</t>
  </si>
  <si>
    <t>Total debt (EUR m)</t>
  </si>
  <si>
    <t>Equity weight</t>
  </si>
  <si>
    <t>Debt weight</t>
  </si>
  <si>
    <t>WACC</t>
  </si>
  <si>
    <t>Base year</t>
  </si>
  <si>
    <t>Revenue, last reported year (EUR m)</t>
  </si>
  <si>
    <t>Fiscal year ended 2025-12-31</t>
  </si>
  <si>
    <t>Net debt (EUR m)</t>
  </si>
  <si>
    <t>Diluted shares</t>
  </si>
  <si>
    <t>Mid-year discounting (1 = yes, 0 = no)</t>
  </si>
  <si>
    <t>Terminal year on a steady-state footing (1 = yes, 0 = no)</t>
  </si>
  <si>
    <t>Forecast cashflows (EUR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</si>
  <si>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</si>
  <si>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</si>
  <si>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</si>
  <si>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</si>
  <si>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</si>
  <si>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</si>
  <si>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</si>
  <si>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</si>
  <si>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</si>
  <si>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</si>
  <si>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</si>
  <si>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</si>
  <si>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</si>
  <si>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</si>
  <si>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</si>
  <si>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</si>
  <si>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</si>
  <si>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(EUR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</si>
  <si>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</si>
  <si>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</si>
  <si>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</si>
  <si>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</si>
  <si>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</si>
  <si>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</si>
  <si>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</si>
  <si>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</si>
  <si>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</si>
  <si>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</si>
  <si>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</si>
  <si>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</si>
  <si>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</si>
  <si>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</si>
  <si>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</si>
  <si>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(EUR)</t>
  </si>
  <si>
    <t>Conversion, EUR to EUR</t>
  </si>
  <si>
    <t>Same currency, no conversion</t>
  </si>
  <si>
    <t>Value per share (EUR)</t>
  </si>
  <si>
    <t>Implied upside</t>
  </si>
  <si>
    <t>Value per share (EUR)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</si>
  <si>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</si>
  <si>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n/a</t>
  </si>
  <si>
    <t>Reported history and provenance (EUR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</si>
  <si>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</si>
  <si>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</si>
  <si>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</si>
  <si>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</si>
  <si>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</si>
  <si>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</si>
  <si>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</si>
  <si>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</si>
  <si>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derived</t>
  </si>
  <si>
    <t>Depreciation &amp; amortisation</t>
  </si>
  <si>
    <t>reconciledDepreciation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</si>
  <si>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</si>
  <si>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</si>
  <si>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</si>
  <si>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</si>
  <si>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</si>
  <si>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</si>
  <si>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</si>
  <si>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cashAndCashEquivalents</t>
  </si>
  <si>
    <t>dilutedAverageShares</t>
  </si>
  <si>
    <t>Model notes</t>
  </si>
  <si>
    <t>Wrong tool: This is a financial. Banks and insurers report no meaningful operating income, and capex and working capital do not mean what a free-cashflow model assumes, so a DCF will misprice it. The model below runs on best-effort numbers - treat it as an illustration, not a valuation.</t>
  </si>
  <si>
    <t>Note: Risk-free rate is an assumption: EUR assumption - no free live source available for this market.</t>
  </si>
  <si>
    <t>Data: Yahoo Finance. Risk-free rate: EUR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</si>
</sst>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0.07573616583765208</v>
      </c>
    </row>
    <row r="7" spans="1:2" x14ac:dyDescent="0.25">
      <c r="A7" t="s">
        <v>5</v>
      </c>
      <c r="B7" s="6">
        <v>0.2740746607385069</v>
      </c>
    </row>
    <row r="8" spans="1:2" x14ac:dyDescent="0.25">
      <c r="A8" t="s">
        <v>6</v>
      </c>
      <c r="B8" s="6">
        <v>0.2905713294670595</v>
      </c>
    </row>
    <row r="9" spans="1:2" x14ac:dyDescent="0.25">
      <c r="A9" t="s">
        <v>7</v>
      </c>
      <c r="B9" s="6">
        <v>0.06828734706905504</v>
      </c>
    </row>
    <row r="10" spans="1:2" x14ac:dyDescent="0.25">
      <c r="A10" t="s">
        <v>8</v>
      </c>
      <c r="B10" s="6">
        <v>0.08271027610758837</v>
      </c>
    </row>
    <row r="11" spans="1:2" x14ac:dyDescent="0.25">
      <c r="A11" t="s">
        <v>9</v>
      </c>
      <c r="B11" s="6">
        <v>1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10.185919933124348</v>
      </c>
    </row>
    <row r="14" spans="1:3" x14ac:dyDescent="0.25">
      <c r="A14" t="s">
        <v>12</v>
      </c>
      <c r="B14" s="6">
        <v>0.04789381357762579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0.026</v>
      </c>
      <c r="C17" s="8" t="s">
        <v>16</v>
      </c>
    </row>
    <row r="18" spans="1:2" x14ac:dyDescent="0.25">
      <c r="A18" t="s">
        <v>17</v>
      </c>
      <c r="B18" s="6">
        <v>0.06</v>
      </c>
    </row>
    <row r="19" spans="1:3" x14ac:dyDescent="0.25">
      <c r="A19" t="s">
        <v>18</v>
      </c>
      <c r="B19" s="9">
        <v>0.78493</v>
      </c>
      <c r="C19" s="8" t="s">
        <v>19</v>
      </c>
    </row>
    <row r="20" spans="1:2" x14ac:dyDescent="0.25">
      <c r="A20" t="s">
        <v>20</v>
      </c>
      <c r="B20" s="10">
        <f>B17+B19*B18</f>
        <v>0.0730958</v>
      </c>
    </row>
    <row r="21" spans="1:3" x14ac:dyDescent="0.25">
      <c r="A21" t="s">
        <v>21</v>
      </c>
      <c r="B21" s="6">
        <v>0.046</v>
      </c>
      <c r="C21" s="8" t="s">
        <v>22</v>
      </c>
    </row>
    <row r="22" spans="1:2" x14ac:dyDescent="0.25">
      <c r="A22" t="s">
        <v>23</v>
      </c>
      <c r="B22" s="11">
        <v>43925626880</v>
      </c>
    </row>
    <row r="23" spans="1:2" x14ac:dyDescent="0.25">
      <c r="A23" t="s">
        <v>24</v>
      </c>
      <c r="B23" s="11">
        <v>72543000000</v>
      </c>
    </row>
    <row r="24" spans="1:2" x14ac:dyDescent="0.25">
      <c r="A24" t="s">
        <v>25</v>
      </c>
      <c r="B24" s="10">
        <f>B22/(B22+B23)</f>
        <v>0.3771455717878212</v>
      </c>
    </row>
    <row r="25" spans="1:2" x14ac:dyDescent="0.25">
      <c r="A25" t="s">
        <v>26</v>
      </c>
      <c r="B25" s="10">
        <f>1-B24</f>
        <v>0.6228544282121788</v>
      </c>
    </row>
    <row r="26" spans="1:2" x14ac:dyDescent="0.25">
      <c r="A26" t="s">
        <v>27</v>
      </c>
      <c r="B26" s="12">
        <f>B24*B20+B25*B21*(1-B8)</f>
        <v>0.04789381357762579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12934000000</v>
      </c>
      <c r="C29" s="8" t="s">
        <v>30</v>
      </c>
    </row>
    <row r="30" spans="1:2" x14ac:dyDescent="0.25">
      <c r="A30" t="s">
        <v>31</v>
      </c>
      <c r="B30" s="11">
        <v>4814000000</v>
      </c>
    </row>
    <row r="31" spans="1:2" x14ac:dyDescent="0.25">
      <c r="A31" t="s">
        <v>32</v>
      </c>
      <c r="B31" s="13">
        <v>1096523505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0.07573616583765208</v>
      </c>
      <c r="C5" s="10">
        <f>Assumptions!B6</f>
        <v>0.07573616583765208</v>
      </c>
      <c r="D5" s="10">
        <f>Assumptions!B6</f>
        <v>0.07573616583765208</v>
      </c>
      <c r="E5" s="10">
        <f>Assumptions!B6</f>
        <v>0.07573616583765208</v>
      </c>
      <c r="F5" s="10">
        <f>Assumptions!B6</f>
        <v>0.07573616583765208</v>
      </c>
    </row>
    <row r="6" spans="1:6" x14ac:dyDescent="0.25">
      <c r="A6" t="s">
        <v>43</v>
      </c>
      <c r="B6" s="18">
        <f>Assumptions!B29*(1+B5)</f>
        <v>13913571568.944193</v>
      </c>
      <c r="C6" s="18">
        <f>B6*(1+C5)</f>
        <v>14967332132.683792</v>
      </c>
      <c r="D6" s="18">
        <f>C6*(1+D5)</f>
        <v>16100900481.23195</v>
      </c>
      <c r="E6" s="18">
        <f>D6*(1+E5)</f>
        <v>17320320950.214066</v>
      </c>
      <c r="F6" s="18">
        <f>E6*(1+F5)</f>
        <v>18632095650.060837</v>
      </c>
    </row>
    <row r="7" spans="1:6" x14ac:dyDescent="0.25">
      <c r="A7" t="s">
        <v>5</v>
      </c>
      <c r="B7" s="10">
        <f>Assumptions!B7</f>
        <v>0.2740746607385069</v>
      </c>
      <c r="C7" s="10">
        <f>Assumptions!B7</f>
        <v>0.2740746607385069</v>
      </c>
      <c r="D7" s="10">
        <f>Assumptions!B7</f>
        <v>0.2740746607385069</v>
      </c>
      <c r="E7" s="10">
        <f>Assumptions!B7</f>
        <v>0.2740746607385069</v>
      </c>
      <c r="F7" s="10">
        <f>Assumptions!B7</f>
        <v>0.2740746607385069</v>
      </c>
    </row>
    <row r="8" spans="1:6" x14ac:dyDescent="0.25">
      <c r="A8" t="s">
        <v>44</v>
      </c>
      <c r="B8" s="18">
        <f>B6*B7</f>
        <v>3813357407.419315</v>
      </c>
      <c r="C8" s="18">
        <f>C6*C7</f>
        <v>4102166476.4258633</v>
      </c>
      <c r="D8" s="18">
        <f>D6*D7</f>
        <v>4412848836.978109</v>
      </c>
      <c r="E8" s="18">
        <f>E6*E7</f>
        <v>4747061088.311974</v>
      </c>
      <c r="F8" s="18">
        <f>F6*F7</f>
        <v>5106585294.137834</v>
      </c>
    </row>
    <row r="9" spans="1:6" x14ac:dyDescent="0.25">
      <c r="A9" t="s">
        <v>45</v>
      </c>
      <c r="B9" s="18">
        <f>B8*(1-Assumptions!B8)</f>
        <v>2705305075.812425</v>
      </c>
      <c r="C9" s="18">
        <f>C8*(1-Assumptions!B8)</f>
        <v>2910194509.675597</v>
      </c>
      <c r="D9" s="18">
        <f>D8*(1-Assumptions!B8)</f>
        <v>3130601483.6802125</v>
      </c>
      <c r="E9" s="18">
        <f>E8*(1-Assumptions!B8)</f>
        <v>3367701236.819817</v>
      </c>
      <c r="F9" s="18">
        <f>F8*(1-Assumptions!B8)</f>
        <v>3622758016.183268</v>
      </c>
    </row>
    <row r="10" spans="1:6" x14ac:dyDescent="0.25">
      <c r="A10" t="s">
        <v>46</v>
      </c>
      <c r="B10" s="18">
        <f>B6*Assumptions!B9</f>
        <v>950120890.6986288</v>
      </c>
      <c r="C10" s="18">
        <f>C6*Assumptions!B9</f>
        <v>1022079404.0423979</v>
      </c>
      <c r="D10" s="18">
        <f>D6*Assumptions!B9</f>
        <v>1099487779.2862015</v>
      </c>
      <c r="E10" s="18">
        <f>E6*Assumptions!B9</f>
        <v>1182758768.074693</v>
      </c>
      <c r="F10" s="18">
        <f>F6*Assumptions!B9</f>
        <v>1272336382.279535</v>
      </c>
    </row>
    <row r="11" spans="1:6" x14ac:dyDescent="0.25">
      <c r="A11" t="s">
        <v>47</v>
      </c>
      <c r="B11" s="18">
        <f>-B6*Assumptions!B10</f>
        <v>-1150795346.1100657</v>
      </c>
      <c r="C11" s="18">
        <f>-C6*Assumptions!B10</f>
        <v>-1237952173.288256</v>
      </c>
      <c r="D11" s="18">
        <f>-D6*Assumptions!B10</f>
        <v>-1331709924.383497</v>
      </c>
      <c r="E11" s="18">
        <f>-E6*Assumptions!B10</f>
        <v>-1432568528.0642526</v>
      </c>
      <c r="F11" s="18">
        <f>-F6*Assumptions!B10</f>
        <v>-1541065775.679528</v>
      </c>
    </row>
    <row r="12" spans="1:6" x14ac:dyDescent="0.25">
      <c r="A12" t="s">
        <v>48</v>
      </c>
      <c r="B12" s="18">
        <f>-(B6-Assumptions!B29)*Assumptions!B11</f>
        <v>-979571568.9441929</v>
      </c>
      <c r="C12" s="18">
        <f>-(C6-B6)*Assumptions!B11</f>
        <v>-1053760563.7395992</v>
      </c>
      <c r="D12" s="18">
        <f>-(D6-C6)*Assumptions!B11</f>
        <v>-1133568348.5481586</v>
      </c>
      <c r="E12" s="18">
        <f>-(E6-D6)*Assumptions!B11</f>
        <v>-1219420468.9821148</v>
      </c>
      <c r="F12" s="18">
        <f>-(F6-E6)*Assumptions!B11</f>
        <v>-1311774699.8467712</v>
      </c>
    </row>
    <row r="13" spans="1:6" x14ac:dyDescent="0.25">
      <c r="A13" s="19" t="s">
        <v>49</v>
      </c>
      <c r="B13" s="20">
        <f>B9+B10+B11+B12</f>
        <v>1525059051.4567957</v>
      </c>
      <c r="C13" s="20">
        <f>C9+C10+C11+C12</f>
        <v>1640561176.6901398</v>
      </c>
      <c r="D13" s="20">
        <f>D9+D10+D11+D12</f>
        <v>1764810990.0347586</v>
      </c>
      <c r="E13" s="20">
        <f>E9+E10+E11+E12</f>
        <v>1898471007.8481426</v>
      </c>
      <c r="F13" s="20">
        <f>F9+F10+F11+F12</f>
        <v>2042253922.9365034</v>
      </c>
    </row>
    <row r="14" spans="1:6" x14ac:dyDescent="0.25">
      <c r="A14" t="s">
        <v>50</v>
      </c>
      <c r="B14" s="21">
        <f>1/(1+Assumptions!$B$26)^(1-0.5*Assumptions!$B$32)</f>
        <v>0.9768803228938253</v>
      </c>
      <c r="C14" s="21">
        <f>1/(1+Assumptions!$B$26)^(2-0.5*Assumptions!$B$32)</f>
        <v>0.932232169172416</v>
      </c>
      <c r="D14" s="21">
        <f>1/(1+Assumptions!$B$26)^(3-0.5*Assumptions!$B$32)</f>
        <v>0.889624651938417</v>
      </c>
      <c r="E14" s="21">
        <f>1/(1+Assumptions!$B$26)^(4-0.5*Assumptions!$B$32)</f>
        <v>0.8489645042384015</v>
      </c>
      <c r="F14" s="21">
        <f>1/(1+Assumptions!$B$26)^(5-0.5*Assumptions!$B$32)</f>
        <v>0.8101627218696351</v>
      </c>
    </row>
    <row r="15" spans="1:6" x14ac:dyDescent="0.25">
      <c r="A15" s="19" t="s">
        <v>51</v>
      </c>
      <c r="B15" s="20">
        <f>B13*B14</f>
        <v>1489800178.6192656</v>
      </c>
      <c r="C15" s="20">
        <f>C13*C14</f>
        <v>1529383904.4059002</v>
      </c>
      <c r="D15" s="20">
        <f>D13*D14</f>
        <v>1570019362.7467651</v>
      </c>
      <c r="E15" s="20">
        <f>E13*E14</f>
        <v>1611734497.988777</v>
      </c>
      <c r="F15" s="20">
        <f>F13*F14</f>
        <v>1654557996.9551775</v>
      </c>
    </row>
    <row r="17" spans="1:2" x14ac:dyDescent="0.25">
      <c r="A17" s="22" t="s">
        <v>52</v>
      </c>
      <c r="B17" s="23">
        <f>SUM(B15:F15)</f>
        <v>7855495940.715885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2042253922.9365034</v>
      </c>
    </row>
    <row r="5" spans="1:2" x14ac:dyDescent="0.25">
      <c r="A5" t="s">
        <v>56</v>
      </c>
      <c r="B5" s="18">
        <f>IF(Assumptions!$B$33=0,B4,B4-Forecast!F11-Forecast!F10-Forecast!F12)</f>
        <v>3622758016.183268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0.5219880843165738</v>
      </c>
    </row>
    <row r="7" spans="1:2" x14ac:dyDescent="0.25">
      <c r="A7" t="s">
        <v>58</v>
      </c>
      <c r="B7" s="18">
        <f>-MAX(Forecast!F9,0)*B6</f>
        <v>-1891036516.8100154</v>
      </c>
    </row>
    <row r="8" spans="1:2" x14ac:dyDescent="0.25">
      <c r="A8" t="s">
        <v>59</v>
      </c>
      <c r="B8" s="18">
        <f>IF(OR(Assumptions!$B$33=0,Assumptions!B12&lt;=0),B5,MAX(B5+B7,0))</f>
        <v>1731721499.3732526</v>
      </c>
    </row>
    <row r="9" spans="1:2" x14ac:dyDescent="0.25">
      <c r="A9" t="s">
        <v>60</v>
      </c>
      <c r="B9" s="18">
        <f>B8*(1+Assumptions!B12)/(Assumptions!B26-Assumptions!B12)</f>
        <v>77532497189.21065</v>
      </c>
    </row>
    <row r="10" spans="1:2" x14ac:dyDescent="0.25">
      <c r="A10" t="s">
        <v>61</v>
      </c>
      <c r="B10" s="18">
        <f>B9/(1+Assumptions!B26)^(5-0.5*Assumptions!B32)</f>
        <v>62813938956.160736</v>
      </c>
    </row>
    <row r="11" spans="1:2" x14ac:dyDescent="0.25">
      <c r="A11" t="s">
        <v>62</v>
      </c>
      <c r="B11" s="18">
        <f>Forecast!B17+B10</f>
        <v>70669434896.87662</v>
      </c>
    </row>
    <row r="12" spans="1:2" x14ac:dyDescent="0.25">
      <c r="A12" t="s">
        <v>63</v>
      </c>
      <c r="B12" s="18">
        <f>-Assumptions!B30</f>
        <v>-4814000000</v>
      </c>
    </row>
    <row r="13" spans="1:2" x14ac:dyDescent="0.25">
      <c r="A13" t="s">
        <v>64</v>
      </c>
      <c r="B13" s="18">
        <f>B11+B12</f>
        <v>65855434896.87662</v>
      </c>
    </row>
    <row r="14" spans="1:2" x14ac:dyDescent="0.25">
      <c r="A14" s="19" t="s">
        <v>65</v>
      </c>
      <c r="B14" s="24">
        <f>B13/Assumptions!B31</f>
        <v>60.058388713588606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6378921676.417369</v>
      </c>
    </row>
    <row r="18" spans="1:2" x14ac:dyDescent="0.25">
      <c r="A18" t="s">
        <v>60</v>
      </c>
      <c r="B18" s="18">
        <f>B17*Assumptions!B13</f>
        <v>64975185455.65866</v>
      </c>
    </row>
    <row r="19" spans="1:2" x14ac:dyDescent="0.25">
      <c r="A19" t="s">
        <v>61</v>
      </c>
      <c r="B19" s="18">
        <f>B18/(1+Assumptions!B26)^(5-0.5*Assumptions!B32)</f>
        <v>52640473102.740746</v>
      </c>
    </row>
    <row r="20" spans="1:2" x14ac:dyDescent="0.25">
      <c r="A20" t="s">
        <v>62</v>
      </c>
      <c r="B20" s="18">
        <f>Forecast!B17+B19</f>
        <v>60495969043.456635</v>
      </c>
    </row>
    <row r="21" spans="1:2" x14ac:dyDescent="0.25">
      <c r="A21" t="s">
        <v>63</v>
      </c>
      <c r="B21" s="18">
        <f>-Assumptions!B30</f>
        <v>-4814000000</v>
      </c>
    </row>
    <row r="22" spans="1:2" x14ac:dyDescent="0.25">
      <c r="A22" t="s">
        <v>64</v>
      </c>
      <c r="B22" s="18">
        <f>B20+B21</f>
        <v>55681969043.456635</v>
      </c>
    </row>
    <row r="23" spans="1:2" x14ac:dyDescent="0.25">
      <c r="A23" s="19" t="s">
        <v>65</v>
      </c>
      <c r="B23" s="25">
        <f>B22/Assumptions!B31</f>
        <v>50.78046096554641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40.64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60.058388713588606</v>
      </c>
    </row>
    <row r="29" spans="1:2" x14ac:dyDescent="0.25">
      <c r="A29" s="19" t="s">
        <v>73</v>
      </c>
      <c r="B29" s="12">
        <f>B28/B26-1</f>
        <v>0.47781468291310536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0.027894</v>
      </c>
      <c r="B5" s="31">
        <v>112.84496956764205</v>
      </c>
      <c r="C5" s="31">
        <v>117.51227825280776</v>
      </c>
      <c r="D5" s="31">
        <v>136.55006981266652</v>
      </c>
      <c r="E5" s="31" t="s">
        <v>76</v>
      </c>
      <c r="F5" s="31" t="s">
        <v>76</v>
      </c>
    </row>
    <row r="6" spans="1:6" x14ac:dyDescent="0.25">
      <c r="A6" s="30">
        <v>0.037894</v>
      </c>
      <c r="B6" s="31">
        <v>77.80825227458276</v>
      </c>
      <c r="C6" s="31">
        <v>78.17700261342155</v>
      </c>
      <c r="D6" s="31">
        <v>78.54575295226029</v>
      </c>
      <c r="E6" s="31">
        <v>78.91450329109904</v>
      </c>
      <c r="F6" s="31">
        <v>102.90006912856174</v>
      </c>
    </row>
    <row r="7" spans="1:6" x14ac:dyDescent="0.25">
      <c r="A7" s="30">
        <v>0.047894</v>
      </c>
      <c r="B7" s="31">
        <v>59.499244848755936</v>
      </c>
      <c r="C7" s="31">
        <v>59.7786807376914</v>
      </c>
      <c r="D7" s="32">
        <v>60.058116626626855</v>
      </c>
      <c r="E7" s="31">
        <v>60.33755251556234</v>
      </c>
      <c r="F7" s="31">
        <v>60.616988404497796</v>
      </c>
    </row>
    <row r="8" spans="1:6" x14ac:dyDescent="0.25">
      <c r="A8" s="30">
        <v>0.057894</v>
      </c>
      <c r="B8" s="31">
        <v>47.56672736551197</v>
      </c>
      <c r="C8" s="31">
        <v>47.78822451174468</v>
      </c>
      <c r="D8" s="31">
        <v>48.00972165797738</v>
      </c>
      <c r="E8" s="31">
        <v>48.23121880421009</v>
      </c>
      <c r="F8" s="31">
        <v>48.452715950442794</v>
      </c>
    </row>
    <row r="9" spans="1:6" x14ac:dyDescent="0.25">
      <c r="A9" s="30">
        <v>0.067894</v>
      </c>
      <c r="B9" s="31">
        <v>39.190562544619844</v>
      </c>
      <c r="C9" s="31">
        <v>39.37160620841284</v>
      </c>
      <c r="D9" s="31">
        <v>39.55264987220583</v>
      </c>
      <c r="E9" s="31">
        <v>39.733693535998825</v>
      </c>
      <c r="F9" s="31">
        <v>39.91473719979181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77</v>
      </c>
    </row>
    <row r="2" spans="1:1" x14ac:dyDescent="0.25">
      <c r="A2" s="3" t="s">
        <v>78</v>
      </c>
    </row>
    <row r="4" spans="1:6" x14ac:dyDescent="0.25">
      <c r="A4" s="16" t="s">
        <v>79</v>
      </c>
      <c r="B4" s="17" t="s">
        <v>80</v>
      </c>
      <c r="C4" s="17" t="s">
        <v>81</v>
      </c>
      <c r="D4" s="17" t="s">
        <v>82</v>
      </c>
      <c r="E4" s="17" t="s">
        <v>83</v>
      </c>
      <c r="F4" s="33" t="s">
        <v>84</v>
      </c>
    </row>
    <row r="5" spans="1:6" x14ac:dyDescent="0.25">
      <c r="A5" t="s">
        <v>43</v>
      </c>
      <c r="B5" s="18">
        <v>12934000000</v>
      </c>
      <c r="C5" s="18">
        <v>12362000000</v>
      </c>
      <c r="D5" s="18">
        <v>11812000000</v>
      </c>
      <c r="E5" s="18">
        <v>10390000000</v>
      </c>
      <c r="F5" s="8" t="s">
        <v>85</v>
      </c>
    </row>
    <row r="6" spans="1:6" x14ac:dyDescent="0.25">
      <c r="A6" t="s">
        <v>44</v>
      </c>
      <c r="B6" s="18">
        <v>3947000000</v>
      </c>
      <c r="C6" s="18">
        <v>3833000000</v>
      </c>
      <c r="D6" s="18">
        <v>3403000000</v>
      </c>
      <c r="E6" s="18">
        <v>2005000000</v>
      </c>
      <c r="F6" s="8" t="s">
        <v>86</v>
      </c>
    </row>
    <row r="7" spans="1:6" x14ac:dyDescent="0.25">
      <c r="A7" t="s">
        <v>87</v>
      </c>
      <c r="B7" s="18">
        <v>838000000</v>
      </c>
      <c r="C7" s="18">
        <v>806000000</v>
      </c>
      <c r="D7" s="18">
        <v>769000000</v>
      </c>
      <c r="E7" s="18">
        <v>811000000</v>
      </c>
      <c r="F7" s="8" t="s">
        <v>88</v>
      </c>
    </row>
    <row r="8" spans="1:6" x14ac:dyDescent="0.25">
      <c r="A8" t="s">
        <v>89</v>
      </c>
      <c r="B8" s="18">
        <v>1147000000</v>
      </c>
      <c r="C8" s="18">
        <v>1146000000</v>
      </c>
      <c r="D8" s="18">
        <v>998000000</v>
      </c>
      <c r="E8" s="18">
        <v>675000000</v>
      </c>
      <c r="F8" s="8" t="s">
        <v>90</v>
      </c>
    </row>
    <row r="9" spans="1:6" x14ac:dyDescent="0.25">
      <c r="A9" t="s">
        <v>91</v>
      </c>
      <c r="B9" s="18">
        <v>20071000000</v>
      </c>
      <c r="C9" s="18">
        <v>27125000000</v>
      </c>
      <c r="D9" s="18">
        <v>-15137000000</v>
      </c>
      <c r="E9" s="18">
        <v>-28883000000</v>
      </c>
      <c r="F9" s="8" t="s">
        <v>92</v>
      </c>
    </row>
    <row r="10" spans="1:6" x14ac:dyDescent="0.25">
      <c r="A10" t="s">
        <v>93</v>
      </c>
      <c r="B10" s="18">
        <v>72543000000</v>
      </c>
      <c r="C10" s="18">
        <v>54886000000</v>
      </c>
      <c r="D10" s="18">
        <v>48254000000</v>
      </c>
      <c r="E10" s="18">
        <v>43765000000</v>
      </c>
      <c r="F10" s="8" t="s">
        <v>94</v>
      </c>
    </row>
    <row r="11" spans="1:6" x14ac:dyDescent="0.25">
      <c r="A11" t="s">
        <v>95</v>
      </c>
      <c r="B11" s="18">
        <v>67729000000</v>
      </c>
      <c r="C11" s="18">
        <v>79122000000</v>
      </c>
      <c r="D11" s="18">
        <v>102692000000</v>
      </c>
      <c r="E11" s="18">
        <v>86647000000</v>
      </c>
      <c r="F11" s="8" t="s">
        <v>96</v>
      </c>
    </row>
    <row r="12" spans="1:6" x14ac:dyDescent="0.25">
      <c r="A12" t="s">
        <v>32</v>
      </c>
      <c r="B12" s="34">
        <v>1096523505</v>
      </c>
      <c r="C12" s="34">
        <v>1187511643</v>
      </c>
      <c r="D12" s="34">
        <v>1245699309</v>
      </c>
      <c r="E12" s="34">
        <v>1252357634</v>
      </c>
      <c r="F12" s="8" t="s">
        <v>97</v>
      </c>
    </row>
    <row r="15" spans="1:1" x14ac:dyDescent="0.25">
      <c r="A15" s="19" t="s">
        <v>98</v>
      </c>
    </row>
    <row r="16" ht="54" customHeight="1" spans="1:6" x14ac:dyDescent="0.25">
      <c r="A16" s="35" t="s">
        <v>99</v>
      </c>
      <c r="B16" s="35"/>
      <c r="C16" s="35"/>
      <c r="D16" s="35"/>
      <c r="E16" s="35"/>
      <c r="F16" s="35"/>
    </row>
    <row r="17" ht="22" customHeight="1" spans="1:6" x14ac:dyDescent="0.25">
      <c r="A17" s="35" t="s">
        <v>100</v>
      </c>
      <c r="B17" s="35"/>
      <c r="C17" s="35"/>
      <c r="D17" s="35"/>
      <c r="E17" s="35"/>
      <c r="F17" s="35"/>
    </row>
    <row r="19" spans="1:1" x14ac:dyDescent="0.25">
      <c r="A19" s="36" t="s">
        <v>101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2026-09-19T00:08:19Z</dcterms:modified>
</cp:coreProperties>
</file>