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<sst xmlns="http://schemas.openxmlformats.org/spreadsheetml/2006/main" count="112" uniqueCount="100">
  <si>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Cboe Global Markets, Inc. (CBOE)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</si>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</sst>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0.059967260789602905</v>
      </c>
    </row>
    <row r="7" spans="1:2" x14ac:dyDescent="0.25">
      <c r="A7" t="s">
        <v>5</v>
      </c>
      <c r="B7" s="6">
        <v>0.2842488046694979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0.03561370557851924</v>
      </c>
    </row>
    <row r="10" spans="1:2" x14ac:dyDescent="0.25">
      <c r="A10" t="s">
        <v>8</v>
      </c>
      <c r="B10" s="6">
        <v>0.01424162287573542</v>
      </c>
    </row>
    <row r="11" spans="1:2" x14ac:dyDescent="0.25">
      <c r="A11" t="s">
        <v>9</v>
      </c>
      <c r="B11" s="6">
        <v>-0.30249221183800623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17.00772661655973</v>
      </c>
    </row>
    <row r="14" spans="1:3" x14ac:dyDescent="0.25">
      <c r="A14" t="s">
        <v>12</v>
      </c>
      <c r="B14" s="6">
        <v>0.15910286354458822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0.6033599999999999</v>
      </c>
      <c r="C19" s="8" t="s">
        <v>19</v>
      </c>
    </row>
    <row r="20" spans="1:2" x14ac:dyDescent="0.25">
      <c r="A20" t="s">
        <v>20</v>
      </c>
      <c r="B20" s="10">
        <f>B17+B19*B18</f>
        <v>0.0831648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28495044608</v>
      </c>
    </row>
    <row r="23" spans="1:2" x14ac:dyDescent="0.25">
      <c r="A23" t="s">
        <v>24</v>
      </c>
      <c r="B23" s="11">
        <v>1590700000</v>
      </c>
    </row>
    <row r="24" spans="1:2" x14ac:dyDescent="0.25">
      <c r="A24" t="s">
        <v>25</v>
      </c>
      <c r="B24" s="10">
        <f>B22/(B22+B23)</f>
        <v>0.9471277835823607</v>
      </c>
    </row>
    <row r="25" spans="1:2" x14ac:dyDescent="0.25">
      <c r="A25" t="s">
        <v>26</v>
      </c>
      <c r="B25" s="10">
        <f>1-B24</f>
        <v>0.052872216417639284</v>
      </c>
    </row>
    <row r="26" spans="1:2" x14ac:dyDescent="0.25">
      <c r="A26" t="s">
        <v>27</v>
      </c>
      <c r="B26" s="12">
        <f>B24*B20+B25*B21*(1-B8)</f>
        <v>0.08085530986354766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4714200000</v>
      </c>
      <c r="C29" s="8" t="s">
        <v>30</v>
      </c>
    </row>
    <row r="30" spans="1:2" x14ac:dyDescent="0.25">
      <c r="A30" t="s">
        <v>31</v>
      </c>
      <c r="B30" s="11">
        <v>-661900000</v>
      </c>
    </row>
    <row r="31" spans="1:2" x14ac:dyDescent="0.25">
      <c r="A31" t="s">
        <v>32</v>
      </c>
      <c r="B31" s="13">
        <v>105100000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0.059967260789602905</v>
      </c>
      <c r="C5" s="10">
        <f>Assumptions!B6</f>
        <v>0.059967260789602905</v>
      </c>
      <c r="D5" s="10">
        <f>Assumptions!B6</f>
        <v>0.059967260789602905</v>
      </c>
      <c r="E5" s="10">
        <f>Assumptions!B6</f>
        <v>0.059967260789602905</v>
      </c>
      <c r="F5" s="10">
        <f>Assumptions!B6</f>
        <v>0.059967260789602905</v>
      </c>
    </row>
    <row r="6" spans="1:6" x14ac:dyDescent="0.25">
      <c r="A6" t="s">
        <v>43</v>
      </c>
      <c r="B6" s="18">
        <f>Assumptions!B29*(1+B5)</f>
        <v>4996897660.814346</v>
      </c>
      <c r="C6" s="18">
        <f>B6*(1+C5)</f>
        <v>5296547925.979357</v>
      </c>
      <c r="D6" s="18">
        <f>C6*(1+D5)</f>
        <v>5614167396.741191</v>
      </c>
      <c r="E6" s="18">
        <f>D6*(1+E5)</f>
        <v>5950833637.138056</v>
      </c>
      <c r="F6" s="18">
        <f>E6*(1+F5)</f>
        <v>6307688829.771854</v>
      </c>
    </row>
    <row r="7" spans="1:6" x14ac:dyDescent="0.25">
      <c r="A7" t="s">
        <v>5</v>
      </c>
      <c r="B7" s="10">
        <f>Assumptions!B7</f>
        <v>0.2842488046694979</v>
      </c>
      <c r="C7" s="10">
        <f>Assumptions!B7</f>
        <v>0.2842488046694979</v>
      </c>
      <c r="D7" s="10">
        <f>Assumptions!B7</f>
        <v>0.2842488046694979</v>
      </c>
      <c r="E7" s="10">
        <f>Assumptions!B7</f>
        <v>0.2842488046694979</v>
      </c>
      <c r="F7" s="10">
        <f>Assumptions!B7</f>
        <v>0.2842488046694979</v>
      </c>
    </row>
    <row r="8" spans="1:6" x14ac:dyDescent="0.25">
      <c r="A8" t="s">
        <v>44</v>
      </c>
      <c r="B8" s="18">
        <f>B6*B7</f>
        <v>1420362187.1422882</v>
      </c>
      <c r="C8" s="18">
        <f>C6*C7</f>
        <v>1505537416.8343406</v>
      </c>
      <c r="D8" s="18">
        <f>D6*D7</f>
        <v>1595820371.7381504</v>
      </c>
      <c r="E8" s="18">
        <f>E6*E7</f>
        <v>1691517348.143533</v>
      </c>
      <c r="F8" s="18">
        <f>F6*F7</f>
        <v>1792953010.0897937</v>
      </c>
    </row>
    <row r="9" spans="1:6" x14ac:dyDescent="0.25">
      <c r="A9" t="s">
        <v>45</v>
      </c>
      <c r="B9" s="18">
        <f>B8*(1-Assumptions!B8)</f>
        <v>1122086127.8424077</v>
      </c>
      <c r="C9" s="18">
        <f>C8*(1-Assumptions!B8)</f>
        <v>1189374559.299129</v>
      </c>
      <c r="D9" s="18">
        <f>D8*(1-Assumptions!B8)</f>
        <v>1260698093.6731389</v>
      </c>
      <c r="E9" s="18">
        <f>E8*(1-Assumptions!B8)</f>
        <v>1336298705.0333912</v>
      </c>
      <c r="F9" s="18">
        <f>F8*(1-Assumptions!B8)</f>
        <v>1416432877.970937</v>
      </c>
    </row>
    <row r="10" spans="1:6" x14ac:dyDescent="0.25">
      <c r="A10" t="s">
        <v>46</v>
      </c>
      <c r="B10" s="18">
        <f>B6*Assumptions!B9</f>
        <v>177958042.09823364</v>
      </c>
      <c r="C10" s="18">
        <f>C6*Assumptions!B9</f>
        <v>188629698.41834554</v>
      </c>
      <c r="D10" s="18">
        <f>D6*Assumptions!B9</f>
        <v>199941304.7360626</v>
      </c>
      <c r="E10" s="18">
        <f>E6*Assumptions!B9</f>
        <v>211931237.09978354</v>
      </c>
      <c r="F10" s="18">
        <f>F6*Assumptions!B9</f>
        <v>224640172.8644094</v>
      </c>
    </row>
    <row r="11" spans="1:6" x14ac:dyDescent="0.25">
      <c r="A11" t="s">
        <v>47</v>
      </c>
      <c r="B11" s="18">
        <f>-B6*Assumptions!B10</f>
        <v>-71163932.03396241</v>
      </c>
      <c r="C11" s="18">
        <f>-C6*Assumptions!B10</f>
        <v>-75431438.1050566</v>
      </c>
      <c r="D11" s="18">
        <f>-D6*Assumptions!B10</f>
        <v>-79954854.82563733</v>
      </c>
      <c r="E11" s="18">
        <f>-E6*Assumptions!B10</f>
        <v>-84749528.45636114</v>
      </c>
      <c r="F11" s="18">
        <f>-F6*Assumptions!B10</f>
        <v>-89831725.53109963</v>
      </c>
    </row>
    <row r="12" spans="1:6" x14ac:dyDescent="0.25">
      <c r="A12" t="s">
        <v>48</v>
      </c>
      <c r="B12" s="18">
        <f>-(B6-Assumptions!B29)*Assumptions!B11</f>
        <v>85513840.70116208</v>
      </c>
      <c r="C12" s="18">
        <f>-(C6-B6)*Assumptions!B11</f>
        <v>90641871.48760907</v>
      </c>
      <c r="D12" s="18">
        <f>-(D6-C6)*Assumptions!B11</f>
        <v>96077416.23356415</v>
      </c>
      <c r="E12" s="18">
        <f>-(E6-D6)*Assumptions!B11</f>
        <v>101838915.70883359</v>
      </c>
      <c r="F12" s="18">
        <f>-(F6-E6)*Assumptions!B11</f>
        <v>107945916.52567552</v>
      </c>
    </row>
    <row r="13" spans="1:6" x14ac:dyDescent="0.25">
      <c r="A13" s="19" t="s">
        <v>49</v>
      </c>
      <c r="B13" s="20">
        <f>B9+B10+B11+B12</f>
        <v>1314394078.607841</v>
      </c>
      <c r="C13" s="20">
        <f>C9+C10+C11+C12</f>
        <v>1393214691.100027</v>
      </c>
      <c r="D13" s="20">
        <f>D9+D10+D11+D12</f>
        <v>1476761959.8171282</v>
      </c>
      <c r="E13" s="20">
        <f>E9+E10+E11+E12</f>
        <v>1565319329.3856475</v>
      </c>
      <c r="F13" s="20">
        <f>F9+F10+F11+F12</f>
        <v>1659187241.8299224</v>
      </c>
    </row>
    <row r="14" spans="1:6" x14ac:dyDescent="0.25">
      <c r="A14" t="s">
        <v>50</v>
      </c>
      <c r="B14" s="21">
        <f>1/(1+Assumptions!$B$26)^(1-0.5*Assumptions!$B$32)</f>
        <v>0.9618696459754232</v>
      </c>
      <c r="C14" s="21">
        <f>1/(1+Assumptions!$B$26)^(2-0.5*Assumptions!$B$32)</f>
        <v>0.8899152709874316</v>
      </c>
      <c r="D14" s="21">
        <f>1/(1+Assumptions!$B$26)^(3-0.5*Assumptions!$B$32)</f>
        <v>0.8233435713978948</v>
      </c>
      <c r="E14" s="21">
        <f>1/(1+Assumptions!$B$26)^(4-0.5*Assumptions!$B$32)</f>
        <v>0.7617518865701255</v>
      </c>
      <c r="F14" s="21">
        <f>1/(1+Assumptions!$B$26)^(5-0.5*Assumptions!$B$32)</f>
        <v>0.7047676776147704</v>
      </c>
    </row>
    <row r="15" spans="1:6" x14ac:dyDescent="0.25">
      <c r="A15" s="19" t="s">
        <v>51</v>
      </c>
      <c r="B15" s="20">
        <f>B13*B14</f>
        <v>1264275767.0627167</v>
      </c>
      <c r="C15" s="20">
        <f>C13*C14</f>
        <v>1239843029.3739514</v>
      </c>
      <c r="D15" s="20">
        <f>D13*D14</f>
        <v>1215882466.1003888</v>
      </c>
      <c r="E15" s="20">
        <f>E13*E14</f>
        <v>1192384952.2442007</v>
      </c>
      <c r="F15" s="20">
        <f>F13*F14</f>
        <v>1169341539.152531</v>
      </c>
    </row>
    <row r="17" spans="1:2" x14ac:dyDescent="0.25">
      <c r="A17" s="22" t="s">
        <v>52</v>
      </c>
      <c r="B17" s="23">
        <f>SUM(B15:F15)</f>
        <v>6081727753.933788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1659187241.8299224</v>
      </c>
    </row>
    <row r="5" spans="1:2" x14ac:dyDescent="0.25">
      <c r="A5" t="s">
        <v>56</v>
      </c>
      <c r="B5" s="18">
        <f>IF(Assumptions!$B$33=0,B4,B4-Forecast!F11-Forecast!F10-Forecast!F12)</f>
        <v>1549891302.476313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0.15713104995746233</v>
      </c>
    </row>
    <row r="7" spans="1:2" x14ac:dyDescent="0.25">
      <c r="A7" t="s">
        <v>58</v>
      </c>
      <c r="B7" s="18">
        <f>-MAX(Forecast!F9,0)*B6</f>
        <v>-243536047.6780419</v>
      </c>
    </row>
    <row r="8" spans="1:2" x14ac:dyDescent="0.25">
      <c r="A8" t="s">
        <v>59</v>
      </c>
      <c r="B8" s="18">
        <f>IF(OR(Assumptions!$B$33=0,Assumptions!B12&lt;=0),B5,MAX(B5+B7,0))</f>
        <v>1306355254.7982712</v>
      </c>
    </row>
    <row r="9" spans="1:2" x14ac:dyDescent="0.25">
      <c r="A9" t="s">
        <v>60</v>
      </c>
      <c r="B9" s="18">
        <f>B8*(1+Assumptions!B12)/(Assumptions!B26-Assumptions!B12)</f>
        <v>23972906773.57958</v>
      </c>
    </row>
    <row r="10" spans="1:2" x14ac:dyDescent="0.25">
      <c r="A10" t="s">
        <v>61</v>
      </c>
      <c r="B10" s="18">
        <f>B9/(1+Assumptions!B26)^(5-0.5*Assumptions!B32)</f>
        <v>16895329832.49108</v>
      </c>
    </row>
    <row r="11" spans="1:2" x14ac:dyDescent="0.25">
      <c r="A11" t="s">
        <v>62</v>
      </c>
      <c r="B11" s="18">
        <f>Forecast!B17+B10</f>
        <v>22977057586.424866</v>
      </c>
    </row>
    <row r="12" spans="1:2" x14ac:dyDescent="0.25">
      <c r="A12" t="s">
        <v>63</v>
      </c>
      <c r="B12" s="18">
        <f>-Assumptions!B30</f>
        <v>661900000</v>
      </c>
    </row>
    <row r="13" spans="1:2" x14ac:dyDescent="0.25">
      <c r="A13" t="s">
        <v>64</v>
      </c>
      <c r="B13" s="18">
        <f>B11+B12</f>
        <v>23638957586.424866</v>
      </c>
    </row>
    <row r="14" spans="1:2" x14ac:dyDescent="0.25">
      <c r="A14" s="19" t="s">
        <v>65</v>
      </c>
      <c r="B14" s="24">
        <f>B13/Assumptions!B31</f>
        <v>224.91872108872374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2017593182.9542031</v>
      </c>
    </row>
    <row r="18" spans="1:2" x14ac:dyDescent="0.25">
      <c r="A18" t="s">
        <v>60</v>
      </c>
      <c r="B18" s="18">
        <f>B17*Assumptions!B13</f>
        <v>34314673279.119663</v>
      </c>
    </row>
    <row r="19" spans="1:2" x14ac:dyDescent="0.25">
      <c r="A19" t="s">
        <v>61</v>
      </c>
      <c r="B19" s="18">
        <f>B18/(1+Assumptions!B26)^(5-0.5*Assumptions!B32)</f>
        <v>24183872595.034786</v>
      </c>
    </row>
    <row r="20" spans="1:2" x14ac:dyDescent="0.25">
      <c r="A20" t="s">
        <v>62</v>
      </c>
      <c r="B20" s="18">
        <f>Forecast!B17+B19</f>
        <v>30265600348.968575</v>
      </c>
    </row>
    <row r="21" spans="1:2" x14ac:dyDescent="0.25">
      <c r="A21" t="s">
        <v>63</v>
      </c>
      <c r="B21" s="18">
        <f>-Assumptions!B30</f>
        <v>661900000</v>
      </c>
    </row>
    <row r="22" spans="1:2" x14ac:dyDescent="0.25">
      <c r="A22" t="s">
        <v>64</v>
      </c>
      <c r="B22" s="18">
        <f>B20+B21</f>
        <v>30927500348.968575</v>
      </c>
    </row>
    <row r="23" spans="1:2" x14ac:dyDescent="0.25">
      <c r="A23" s="19" t="s">
        <v>65</v>
      </c>
      <c r="B23" s="25">
        <f>B22/Assumptions!B31</f>
        <v>294.267367735191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272.86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224.91872108872374</v>
      </c>
    </row>
    <row r="29" spans="1:2" x14ac:dyDescent="0.25">
      <c r="A29" s="19" t="s">
        <v>73</v>
      </c>
      <c r="B29" s="12">
        <f>B28/B26-1</f>
        <v>-0.17569918240590876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0.060855</v>
      </c>
      <c r="B5" s="31">
        <v>293.5384827645845</v>
      </c>
      <c r="C5" s="31">
        <v>313.65822751840636</v>
      </c>
      <c r="D5" s="31">
        <v>339.2903111979463</v>
      </c>
      <c r="E5" s="31">
        <v>373.1145291001021</v>
      </c>
      <c r="F5" s="31">
        <v>419.8836181554182</v>
      </c>
    </row>
    <row r="6" spans="1:6" x14ac:dyDescent="0.25">
      <c r="A6" s="30">
        <v>0.070855</v>
      </c>
      <c r="B6" s="31">
        <v>243.87278909683127</v>
      </c>
      <c r="C6" s="31">
        <v>255.54366307162857</v>
      </c>
      <c r="D6" s="31">
        <v>269.68543596829994</v>
      </c>
      <c r="E6" s="31">
        <v>287.20530357262726</v>
      </c>
      <c r="F6" s="31">
        <v>309.51649752914636</v>
      </c>
    </row>
    <row r="7" spans="1:6" x14ac:dyDescent="0.25">
      <c r="A7" s="30">
        <v>0.080855</v>
      </c>
      <c r="B7" s="31">
        <v>209.2471052646362</v>
      </c>
      <c r="C7" s="31">
        <v>216.46646221938892</v>
      </c>
      <c r="D7" s="32">
        <v>224.91986111196158</v>
      </c>
      <c r="E7" s="31">
        <v>234.97129032240136</v>
      </c>
      <c r="F7" s="31">
        <v>247.1434944754604</v>
      </c>
    </row>
    <row r="8" spans="1:6" x14ac:dyDescent="0.25">
      <c r="A8" s="30">
        <v>0.090855</v>
      </c>
      <c r="B8" s="31">
        <v>183.71553329865264</v>
      </c>
      <c r="C8" s="31">
        <v>188.369395196397</v>
      </c>
      <c r="D8" s="31">
        <v>193.6823574280881</v>
      </c>
      <c r="E8" s="31">
        <v>199.81688002181244</v>
      </c>
      <c r="F8" s="31">
        <v>206.9935950683497</v>
      </c>
    </row>
    <row r="9" spans="1:6" x14ac:dyDescent="0.25">
      <c r="A9" s="30">
        <v>0.100855</v>
      </c>
      <c r="B9" s="31">
        <v>164.10223674356743</v>
      </c>
      <c r="C9" s="31">
        <v>167.18105283216838</v>
      </c>
      <c r="D9" s="31">
        <v>170.6261027262527</v>
      </c>
      <c r="E9" s="31">
        <v>174.51491810435058</v>
      </c>
      <c r="F9" s="31">
        <v>178.94857682327162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4714200000</v>
      </c>
      <c r="C5" s="18">
        <v>4094500000</v>
      </c>
      <c r="D5" s="18">
        <v>3773500000</v>
      </c>
      <c r="E5" s="18">
        <v>3958500000</v>
      </c>
      <c r="F5" s="8" t="s">
        <v>84</v>
      </c>
    </row>
    <row r="6" spans="1:6" x14ac:dyDescent="0.25">
      <c r="A6" t="s">
        <v>44</v>
      </c>
      <c r="B6" s="18">
        <v>1514100000</v>
      </c>
      <c r="C6" s="18">
        <v>1180700000</v>
      </c>
      <c r="D6" s="18">
        <v>1065300000</v>
      </c>
      <c r="E6" s="18">
        <v>970400000</v>
      </c>
      <c r="F6" s="8" t="s">
        <v>85</v>
      </c>
    </row>
    <row r="7" spans="1:6" x14ac:dyDescent="0.25">
      <c r="A7" t="s">
        <v>86</v>
      </c>
      <c r="B7" s="18">
        <v>122400000</v>
      </c>
      <c r="C7" s="18">
        <v>133000000</v>
      </c>
      <c r="D7" s="18">
        <v>158000000</v>
      </c>
      <c r="E7" s="18">
        <v>166800000</v>
      </c>
      <c r="F7" s="8" t="s">
        <v>87</v>
      </c>
    </row>
    <row r="8" spans="1:6" x14ac:dyDescent="0.25">
      <c r="A8" t="s">
        <v>88</v>
      </c>
      <c r="B8" s="18">
        <v>71000000</v>
      </c>
      <c r="C8" s="18">
        <v>60900000</v>
      </c>
      <c r="D8" s="18">
        <v>45000000</v>
      </c>
      <c r="E8" s="18">
        <v>59800000</v>
      </c>
      <c r="F8" s="8" t="s">
        <v>89</v>
      </c>
    </row>
    <row r="9" spans="1:6" x14ac:dyDescent="0.25">
      <c r="A9" t="s">
        <v>90</v>
      </c>
      <c r="B9" s="18">
        <v>-528600000</v>
      </c>
      <c r="C9" s="18">
        <v>-97100000</v>
      </c>
      <c r="D9" s="18">
        <v>-175600000</v>
      </c>
      <c r="E9" s="18">
        <v>84100000</v>
      </c>
      <c r="F9" s="8" t="s">
        <v>91</v>
      </c>
    </row>
    <row r="10" spans="1:6" x14ac:dyDescent="0.25">
      <c r="A10" t="s">
        <v>92</v>
      </c>
      <c r="B10" s="18">
        <v>1590700000</v>
      </c>
      <c r="C10" s="18">
        <v>1599300000</v>
      </c>
      <c r="D10" s="18">
        <v>1610800000</v>
      </c>
      <c r="E10" s="18">
        <v>1871300000</v>
      </c>
      <c r="F10" s="8" t="s">
        <v>93</v>
      </c>
    </row>
    <row r="11" spans="1:6" x14ac:dyDescent="0.25">
      <c r="A11" t="s">
        <v>94</v>
      </c>
      <c r="B11" s="18">
        <v>2252600000</v>
      </c>
      <c r="C11" s="18">
        <v>1030600000</v>
      </c>
      <c r="D11" s="18">
        <v>600700000</v>
      </c>
      <c r="E11" s="18">
        <v>524400000</v>
      </c>
      <c r="F11" s="8" t="s">
        <v>95</v>
      </c>
    </row>
    <row r="12" spans="1:6" x14ac:dyDescent="0.25">
      <c r="A12" t="s">
        <v>32</v>
      </c>
      <c r="B12" s="34">
        <v>105100000</v>
      </c>
      <c r="C12" s="34">
        <v>105500000</v>
      </c>
      <c r="D12" s="34">
        <v>106200000</v>
      </c>
      <c r="E12" s="34">
        <v>106700000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2026-09-19T01:05:46Z</dcterms:modified>
</cp:coreProperties>
</file>