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<sst xmlns="http://schemas.openxmlformats.org/spreadsheetml/2006/main" count="70" uniqueCount="67">
  <si>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Cboe Global Markets, Inc. (CBOE)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</si>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</sst>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0.5725399999999999</v>
      </c>
    </row>
    <row r="9" spans="1:2" x14ac:dyDescent="0.25">
      <c r="A9" t="s">
        <v>8</v>
      </c>
      <c r="B9" s="8">
        <f>B6+B8*B7</f>
        <v>0.073158442</v>
      </c>
    </row>
    <row r="10" spans="1:2" x14ac:dyDescent="0.25">
      <c r="A10" t="s">
        <v>9</v>
      </c>
      <c r="B10" s="8">
        <f>MEDIAN('Source data'!B9:E9)</f>
        <v>0.21859579257207168</v>
      </c>
    </row>
    <row r="11" spans="1:2" x14ac:dyDescent="0.25">
      <c r="A11" t="s">
        <v>10</v>
      </c>
      <c r="B11" s="8">
        <f>IFERROR(MIN(MAX(MEDIAN('Source data'!B10:E10),0),1),0)</f>
        <v>0.29504950495049503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5138300000</v>
      </c>
    </row>
    <row r="15" spans="1:2" x14ac:dyDescent="0.25">
      <c r="A15" t="s">
        <v>14</v>
      </c>
      <c r="B15" s="10">
        <f>'Source data'!B8</f>
        <v>105100000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0.15409921218942083</v>
      </c>
    </row>
    <row r="18" spans="1:2" x14ac:dyDescent="0.25">
      <c r="A18" t="s">
        <v>17</v>
      </c>
      <c r="B18" s="8">
        <f>MIN(B10,B12)</f>
        <v>0.2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0.2167362133148645</v>
      </c>
      <c r="C22" s="8">
        <f>$B$10+($B$18-$B$10)*C21/$B$16</f>
        <v>0.21487663405765733</v>
      </c>
      <c r="D22" s="8">
        <f>$B$10+($B$18-$B$10)*D21/$B$16</f>
        <v>0.2130170548004502</v>
      </c>
      <c r="E22" s="8">
        <f>$B$10+($B$18-$B$10)*E21/$B$16</f>
        <v>0.21115747554324302</v>
      </c>
      <c r="F22" s="8">
        <f>$B$10+($B$18-$B$10)*F21/$B$16</f>
        <v>0.20929789628603584</v>
      </c>
      <c r="G22" s="8">
        <f>$B$10+($B$18-$B$10)*G21/$B$16</f>
        <v>0.20743831702882867</v>
      </c>
      <c r="H22" s="8">
        <f>$B$10+($B$18-$B$10)*H21/$B$16</f>
        <v>0.2055787377716215</v>
      </c>
      <c r="I22" s="8">
        <f>$B$10+($B$18-$B$10)*I21/$B$16</f>
        <v>0.20371915851441436</v>
      </c>
      <c r="J22" s="8">
        <f>$B$10+($B$18-$B$10)*J21/$B$16</f>
        <v>0.20185957925720718</v>
      </c>
      <c r="K22" s="8">
        <f>$B$10+($B$18-$B$10)*K21/$B$16</f>
        <v>0.2</v>
      </c>
    </row>
    <row r="23" spans="1:11" x14ac:dyDescent="0.25">
      <c r="A23" t="s">
        <v>31</v>
      </c>
      <c r="B23" s="8">
        <f>$B$17+($B$13-$B$17)*B21/$B$16</f>
        <v>0.14118929097047875</v>
      </c>
      <c r="C23" s="8">
        <f>$B$17+($B$13-$B$17)*C21/$B$16</f>
        <v>0.12827936975153664</v>
      </c>
      <c r="D23" s="8">
        <f>$B$17+($B$13-$B$17)*D21/$B$16</f>
        <v>0.11536944853259458</v>
      </c>
      <c r="E23" s="8">
        <f>$B$17+($B$13-$B$17)*E21/$B$16</f>
        <v>0.10245952731365249</v>
      </c>
      <c r="F23" s="8">
        <f>$B$17+($B$13-$B$17)*F21/$B$16</f>
        <v>0.08954960609471041</v>
      </c>
      <c r="G23" s="8">
        <f>$B$17+($B$13-$B$17)*G21/$B$16</f>
        <v>0.07663968487576833</v>
      </c>
      <c r="H23" s="8">
        <f>$B$17+($B$13-$B$17)*H21/$B$16</f>
        <v>0.06372976365682625</v>
      </c>
      <c r="I23" s="8">
        <f>$B$17+($B$13-$B$17)*I21/$B$16</f>
        <v>0.05081984243788415</v>
      </c>
      <c r="J23" s="8">
        <f>$B$17+($B$13-$B$17)*J21/$B$16</f>
        <v>0.03790992121894207</v>
      </c>
      <c r="K23" s="8">
        <f>$B$17+($B$13-$B$17)*K21/$B$16</f>
        <v>0.024999999999999994</v>
      </c>
    </row>
    <row r="24" spans="1:11" x14ac:dyDescent="0.25">
      <c r="A24" t="s">
        <v>32</v>
      </c>
      <c r="B24" s="9">
        <f>$B$14</f>
        <v>5138300000</v>
      </c>
      <c r="C24" s="9">
        <f>B24*(1+B23)</f>
        <v>5863772933.793612</v>
      </c>
      <c r="D24" s="9">
        <f>C24*(1+C23)</f>
        <v>6615974030.106775</v>
      </c>
      <c r="E24" s="9">
        <f>D24*(1+D23)</f>
        <v>7379255305.466162</v>
      </c>
      <c r="F24" s="9">
        <f>E24*(1+E23)</f>
        <v>8135330315.990988</v>
      </c>
      <c r="G24" s="9">
        <f>F24*(1+F23)</f>
        <v>8863845941.238338</v>
      </c>
      <c r="H24" s="9">
        <f>G24*(1+G23)</f>
        <v>9543168300.962204</v>
      </c>
      <c r="I24" s="9">
        <f>H24*(1+H23)</f>
        <v>10151352161.319843</v>
      </c>
      <c r="J24" s="9">
        <f>I24*(1+I23)</f>
        <v>10667242278.689594</v>
      </c>
      <c r="K24" s="9">
        <f>J24*(1+J23)</f>
        <v>11071636593.098087</v>
      </c>
    </row>
    <row r="25" spans="1:11" x14ac:dyDescent="0.25">
      <c r="A25" t="s">
        <v>33</v>
      </c>
      <c r="B25" s="9">
        <f>(B22-$B$9)*B24</f>
        <v>737745662.3471682</v>
      </c>
      <c r="C25" s="9">
        <f>(C22-$B$9)*C24</f>
        <v>831003298.8138559</v>
      </c>
      <c r="D25" s="9">
        <f>(D22-$B$9)*D24</f>
        <v>925300950.1745375</v>
      </c>
      <c r="E25" s="9">
        <f>(E22-$B$9)*E24</f>
        <v>1018330100.4231787</v>
      </c>
      <c r="F25" s="9">
        <f>(F22-$B$9)*F24</f>
        <v>1107539429.6556568</v>
      </c>
      <c r="G25" s="9">
        <f>(G22-$B$9)*G24</f>
        <v>1190236125.2642741</v>
      </c>
      <c r="H25" s="9">
        <f>(H22-$B$9)*H24</f>
        <v>1263709169.0117779</v>
      </c>
      <c r="I25" s="9">
        <f>(I22-$B$9)*I24</f>
        <v>1325367811.7720675</v>
      </c>
      <c r="J25" s="9">
        <f>(J22-$B$9)*J24</f>
        <v>1372886212.6655128</v>
      </c>
      <c r="K25" s="9">
        <f>(K22-$B$9)*K24</f>
        <v>1404343635.0783737</v>
      </c>
    </row>
    <row r="26" spans="1:11" x14ac:dyDescent="0.25">
      <c r="A26" t="s">
        <v>34</v>
      </c>
      <c r="B26" s="14">
        <f>1/(1+$B$9)^B21</f>
        <v>0.931828852910426</v>
      </c>
      <c r="C26" s="14">
        <f>1/(1+$B$9)^C21</f>
        <v>0.8683050111163605</v>
      </c>
      <c r="D26" s="14">
        <f>1/(1+$B$9)^D21</f>
        <v>0.809111662484933</v>
      </c>
      <c r="E26" s="14">
        <f>1/(1+$B$9)^E21</f>
        <v>0.753953592329783</v>
      </c>
      <c r="F26" s="14">
        <f>1/(1+$B$9)^F21</f>
        <v>0.7025557110883566</v>
      </c>
      <c r="G26" s="14">
        <f>1/(1+$B$9)^G21</f>
        <v>0.654661682369132</v>
      </c>
      <c r="H26" s="14">
        <f>1/(1+$B$9)^H21</f>
        <v>0.610032644526438</v>
      </c>
      <c r="I26" s="14">
        <f>1/(1+$B$9)^I21</f>
        <v>0.5684460193869845</v>
      </c>
      <c r="J26" s="14">
        <f>1/(1+$B$9)^J21</f>
        <v>0.5296944021868715</v>
      </c>
      <c r="K26" s="14">
        <f>1/(1+$B$9)^K21</f>
        <v>0.49358452718286633</v>
      </c>
    </row>
    <row r="27" spans="1:11" x14ac:dyDescent="0.25">
      <c r="A27" s="15" t="s">
        <v>35</v>
      </c>
      <c r="B27" s="16">
        <f>B25*B26</f>
        <v>687452694.2846043</v>
      </c>
      <c r="C27" s="16">
        <f>C25*C26</f>
        <v>721564328.6142974</v>
      </c>
      <c r="D27" s="16">
        <f>D25*D26</f>
        <v>748671790.0946082</v>
      </c>
      <c r="E27" s="16">
        <f>E25*E26</f>
        <v>767773637.3916042</v>
      </c>
      <c r="F27" s="16">
        <f>F25*F26</f>
        <v>778108151.5601228</v>
      </c>
      <c r="G27" s="16">
        <f>G25*G26</f>
        <v>779201984.1820266</v>
      </c>
      <c r="H27" s="16">
        <f>H25*H26</f>
        <v>770903846.2845622</v>
      </c>
      <c r="I27" s="16">
        <f>I25*I26</f>
        <v>753400056.8254699</v>
      </c>
      <c r="J27" s="16">
        <f>J25*J26</f>
        <v>727210141.688457</v>
      </c>
      <c r="K27" s="16">
        <f>K25*K26</f>
        <v>693162289.1224269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5138300000</v>
      </c>
    </row>
    <row r="31" spans="1:2" x14ac:dyDescent="0.25">
      <c r="A31" t="s">
        <v>38</v>
      </c>
      <c r="B31" s="9">
        <f>SUM(B27:K27)</f>
        <v>7427448920.04818</v>
      </c>
    </row>
    <row r="32" spans="1:2" x14ac:dyDescent="0.25">
      <c r="A32" t="s">
        <v>39</v>
      </c>
      <c r="B32" s="9">
        <f>K24*(1+K23)</f>
        <v>11348427507.925539</v>
      </c>
    </row>
    <row r="33" spans="1:2" x14ac:dyDescent="0.25">
      <c r="A33" t="s">
        <v>40</v>
      </c>
      <c r="B33" s="9">
        <f>(B18-B9)*B32</f>
        <v>1439452225.9553332</v>
      </c>
    </row>
    <row r="34" spans="1:2" x14ac:dyDescent="0.25">
      <c r="A34" t="s">
        <v>41</v>
      </c>
      <c r="B34" s="9">
        <f>B33/(B9-B13)</f>
        <v>29889925134.109055</v>
      </c>
    </row>
    <row r="35" spans="1:2" x14ac:dyDescent="0.25">
      <c r="A35" t="s">
        <v>42</v>
      </c>
      <c r="B35" s="9">
        <f>B34*K26</f>
        <v>14753204564.85049</v>
      </c>
    </row>
    <row r="36" spans="1:2" x14ac:dyDescent="0.25">
      <c r="A36" s="15" t="s">
        <v>43</v>
      </c>
      <c r="B36" s="16">
        <f>B30+B31+B35</f>
        <v>27318953484.89867</v>
      </c>
    </row>
    <row r="37" spans="1:2" x14ac:dyDescent="0.25">
      <c r="A37" s="15" t="s">
        <v>44</v>
      </c>
      <c r="B37" s="17">
        <f>B36/B15</f>
        <v>259.9329541855249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349.22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259.9329541855249</v>
      </c>
    </row>
    <row r="43" spans="1:2" x14ac:dyDescent="0.25">
      <c r="A43" s="15" t="s">
        <v>48</v>
      </c>
      <c r="B43" s="21">
        <f>B42/B40-1</f>
        <v>-0.2556756366029297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1094800000</v>
      </c>
      <c r="C5" s="9">
        <v>761000000</v>
      </c>
      <c r="D5" s="9">
        <v>757500000</v>
      </c>
      <c r="E5" s="9">
        <v>234100000</v>
      </c>
      <c r="F5" s="6" t="s">
        <v>57</v>
      </c>
    </row>
    <row r="6" spans="1:6" x14ac:dyDescent="0.25">
      <c r="A6" t="s">
        <v>37</v>
      </c>
      <c r="B6" s="9">
        <v>5138300000</v>
      </c>
      <c r="C6" s="9">
        <v>4279600000</v>
      </c>
      <c r="D6" s="9">
        <v>3985000000</v>
      </c>
      <c r="E6" s="9">
        <v>3465300000</v>
      </c>
      <c r="F6" s="6" t="s">
        <v>58</v>
      </c>
    </row>
    <row r="7" spans="1:6" x14ac:dyDescent="0.25">
      <c r="A7" t="s">
        <v>59</v>
      </c>
      <c r="B7" s="9">
        <v>284300000</v>
      </c>
      <c r="C7" s="9">
        <v>249400000</v>
      </c>
      <c r="D7" s="9">
        <v>223500000</v>
      </c>
      <c r="E7" s="9">
        <v>209400000</v>
      </c>
      <c r="F7" s="6" t="s">
        <v>60</v>
      </c>
    </row>
    <row r="8" spans="1:6" x14ac:dyDescent="0.25">
      <c r="A8" t="s">
        <v>14</v>
      </c>
      <c r="B8" s="10">
        <v>105100000</v>
      </c>
      <c r="C8" s="10">
        <v>105500000</v>
      </c>
      <c r="D8" s="10">
        <v>106200000</v>
      </c>
      <c r="E8" s="10">
        <v>106700000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0.25581830077577344</v>
      </c>
      <c r="C9" s="8">
        <f>IF(AND(ISNUMBER(C5),N(D6)&gt;0),C5/D6,"")</f>
        <v>0.19096612296110413</v>
      </c>
      <c r="D9" s="8">
        <f>IF(AND(ISNUMBER(D5),N(E6)&gt;0),D5/E6,"")</f>
        <v>0.21859579257207168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0.25968213372305443</v>
      </c>
      <c r="C10" s="8">
        <f>IF(AND(ISNUMBER(C9),N(C5)&gt;0,ISNUMBER(C7)),C7/C5,"")</f>
        <v>0.3277266754270696</v>
      </c>
      <c r="D10" s="8">
        <f>IF(AND(ISNUMBER(D9),N(D5)&gt;0,ISNUMBER(D7)),D7/D5,"")</f>
        <v>0.29504950495049503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