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<sst xmlns="http://schemas.openxmlformats.org/spreadsheetml/2006/main" count="113" uniqueCount="101">
  <si>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CBRE Group, Inc. (CBRE)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</si>
  <si>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</si>
  <si>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</si>
  <si>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</si>
  <si>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</si>
  <si>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</si>
  <si>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</si>
  <si>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</si>
  <si>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</si>
  <si>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</si>
  <si>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</si>
  <si>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</si>
  <si>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</si>
  <si>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</si>
  <si>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</si>
  <si>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</si>
  <si>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</si>
  <si>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</si>
  <si>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</si>
  <si>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</si>
  <si>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</si>
  <si>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</si>
  <si>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</si>
  <si>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</si>
  <si>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</si>
  <si>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</si>
  <si>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</si>
  <si>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</si>
  <si>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</si>
  <si>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</si>
  <si>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</si>
  <si>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</si>
  <si>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</si>
  <si>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</si>
  <si>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</si>
  <si>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</si>
  <si>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</si>
  <si>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</si>
  <si>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</si>
  <si>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</si>
  <si>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</si>
  <si>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</si>
  <si>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</si>
  <si>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</si>
  <si>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</si>
  <si>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</si>
  <si>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</si>
  <si>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</si>
  <si>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</si>
  <si>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</si>
  <si>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</si>
  <si>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</si>
  <si>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</si>
  <si>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</si>
  <si>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</si>
  <si>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</si>
  <si>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</si>
  <si>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</si>
  <si>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</si>
  <si>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</si>
  <si>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</si>
  <si>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</si>
  <si>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</si>
  <si>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</si>
  <si>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</si>
  <si>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</si>
  <si>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</si>
  <si>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</si>
  <si>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</si>
  <si>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</si>
  <si>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</si>
  <si>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</si>
  <si>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</si>
  <si>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</si>
  <si>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</si>
  <si>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</si>
  <si>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</si>
  <si>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</si>
  <si>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</si>
  <si>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</si>
  <si>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</si>
  <si>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</si>
  <si>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</si>
  <si>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</si>
  <si>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</si>
  <si>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</si>
  <si>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</si>
  <si>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</si>
  <si>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</si>
  <si>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</si>
  <si>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</si>
  <si>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</si>
  <si>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</si>
  <si>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</si>
  <si>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</si>
  <si>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</si>
  <si>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</si>
  <si>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</si>
  <si>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0.89% of revenue, which is too low to be the company's real investment - property trusts and similar structures invest through lines that are not reported as capex. Capex has been set to 1.90%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</si>
  <si>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24.0x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</si>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</sst>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0.09567521092915365</v>
      </c>
    </row>
    <row r="7" spans="1:2" x14ac:dyDescent="0.25">
      <c r="A7" t="s">
        <v>5</v>
      </c>
      <c r="B7" s="6">
        <v>0.03615223188003191</v>
      </c>
    </row>
    <row r="8" spans="1:2" x14ac:dyDescent="0.25">
      <c r="A8" t="s">
        <v>6</v>
      </c>
      <c r="B8" s="6">
        <v>0.17259831321614055</v>
      </c>
    </row>
    <row r="9" spans="1:2" x14ac:dyDescent="0.25">
      <c r="A9" t="s">
        <v>7</v>
      </c>
      <c r="B9" s="6">
        <v>0.019043759923112233</v>
      </c>
    </row>
    <row r="10" spans="1:2" x14ac:dyDescent="0.25">
      <c r="A10" t="s">
        <v>8</v>
      </c>
      <c r="B10" s="6">
        <v>0.019043759923112233</v>
      </c>
    </row>
    <row r="11" spans="1:2" x14ac:dyDescent="0.25">
      <c r="A11" t="s">
        <v>9</v>
      </c>
      <c r="B11" s="6">
        <v>0.014007944804515993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0.10119910804413768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1.12596</v>
      </c>
      <c r="C19" s="8" t="s">
        <v>19</v>
      </c>
    </row>
    <row r="20" spans="1:2" x14ac:dyDescent="0.25">
      <c r="A20" t="s">
        <v>20</v>
      </c>
      <c r="B20" s="10">
        <f>B17+B19*B18</f>
        <v>0.1119078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40395755520</v>
      </c>
    </row>
    <row r="23" spans="1:2" x14ac:dyDescent="0.25">
      <c r="A23" t="s">
        <v>24</v>
      </c>
      <c r="B23" s="11">
        <v>9991000000</v>
      </c>
    </row>
    <row r="24" spans="1:2" x14ac:dyDescent="0.25">
      <c r="A24" t="s">
        <v>25</v>
      </c>
      <c r="B24" s="10">
        <f>B22/(B22+B23)</f>
        <v>0.801713765911475</v>
      </c>
    </row>
    <row r="25" spans="1:2" x14ac:dyDescent="0.25">
      <c r="A25" t="s">
        <v>26</v>
      </c>
      <c r="B25" s="10">
        <f>1-B24</f>
        <v>0.19828623408852497</v>
      </c>
    </row>
    <row r="26" spans="1:2" x14ac:dyDescent="0.25">
      <c r="A26" t="s">
        <v>27</v>
      </c>
      <c r="B26" s="12">
        <f>B24*B20+B25*B21*(1-B8)</f>
        <v>0.10119910804413768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40550000000</v>
      </c>
      <c r="C29" s="8" t="s">
        <v>30</v>
      </c>
    </row>
    <row r="30" spans="1:2" x14ac:dyDescent="0.25">
      <c r="A30" t="s">
        <v>31</v>
      </c>
      <c r="B30" s="11">
        <v>8127000000</v>
      </c>
    </row>
    <row r="31" spans="1:2" x14ac:dyDescent="0.25">
      <c r="A31" t="s">
        <v>32</v>
      </c>
      <c r="B31" s="13">
        <v>300751541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0.09567521092915365</v>
      </c>
      <c r="C5" s="10">
        <f>Assumptions!B6</f>
        <v>0.09567521092915365</v>
      </c>
      <c r="D5" s="10">
        <f>Assumptions!B6</f>
        <v>0.09567521092915365</v>
      </c>
      <c r="E5" s="10">
        <f>Assumptions!B6</f>
        <v>0.09567521092915365</v>
      </c>
      <c r="F5" s="10">
        <f>Assumptions!B6</f>
        <v>0.09567521092915365</v>
      </c>
    </row>
    <row r="6" spans="1:6" x14ac:dyDescent="0.25">
      <c r="A6" t="s">
        <v>43</v>
      </c>
      <c r="B6" s="18">
        <f>Assumptions!B29*(1+B5)</f>
        <v>44429629803.17718</v>
      </c>
      <c r="C6" s="18">
        <f>B6*(1+C5)</f>
        <v>48680444006.100365</v>
      </c>
      <c r="D6" s="18">
        <f>C6*(1+D5)</f>
        <v>53337955754.50887</v>
      </c>
      <c r="E6" s="18">
        <f>D6*(1+E5)</f>
        <v>58441075921.85137</v>
      </c>
      <c r="F6" s="18">
        <f>E6*(1+F5)</f>
        <v>64032438187.60118</v>
      </c>
    </row>
    <row r="7" spans="1:6" x14ac:dyDescent="0.25">
      <c r="A7" t="s">
        <v>5</v>
      </c>
      <c r="B7" s="10">
        <f>Assumptions!B7</f>
        <v>0.03615223188003191</v>
      </c>
      <c r="C7" s="10">
        <f>Assumptions!B7</f>
        <v>0.03615223188003191</v>
      </c>
      <c r="D7" s="10">
        <f>Assumptions!B7</f>
        <v>0.03615223188003191</v>
      </c>
      <c r="E7" s="10">
        <f>Assumptions!B7</f>
        <v>0.03615223188003191</v>
      </c>
      <c r="F7" s="10">
        <f>Assumptions!B7</f>
        <v>0.03615223188003191</v>
      </c>
    </row>
    <row r="8" spans="1:6" x14ac:dyDescent="0.25">
      <c r="A8" t="s">
        <v>44</v>
      </c>
      <c r="B8" s="18">
        <f>B6*B7</f>
        <v>1606230278.9884377</v>
      </c>
      <c r="C8" s="18">
        <f>C6*C7</f>
        <v>1759906699.7314498</v>
      </c>
      <c r="D8" s="18">
        <f>D6*D7</f>
        <v>1928286144.443887</v>
      </c>
      <c r="E8" s="18">
        <f>E6*E7</f>
        <v>2112775328.0453203</v>
      </c>
      <c r="F8" s="18">
        <f>F6*F7</f>
        <v>2314915553.201968</v>
      </c>
    </row>
    <row r="9" spans="1:6" x14ac:dyDescent="0.25">
      <c r="A9" t="s">
        <v>45</v>
      </c>
      <c r="B9" s="18">
        <f>B8*(1-Assumptions!B8)</f>
        <v>1328997642.1983423</v>
      </c>
      <c r="C9" s="18">
        <f>C8*(1-Assumptions!B8)</f>
        <v>1456149771.9400167</v>
      </c>
      <c r="D9" s="18">
        <f>D8*(1-Assumptions!B8)</f>
        <v>1595467208.5148168</v>
      </c>
      <c r="E9" s="18">
        <f>E8*(1-Assumptions!B8)</f>
        <v>1748113870.2200198</v>
      </c>
      <c r="F9" s="18">
        <f>F8*(1-Assumptions!B8)</f>
        <v>1915365033.4814994</v>
      </c>
    </row>
    <row r="10" spans="1:6" x14ac:dyDescent="0.25">
      <c r="A10" t="s">
        <v>46</v>
      </c>
      <c r="B10" s="18">
        <f>B6*Assumptions!B9</f>
        <v>846107203.4444584</v>
      </c>
      <c r="C10" s="18">
        <f>C6*Assumptions!B9</f>
        <v>927058688.6026832</v>
      </c>
      <c r="D10" s="18">
        <f>D6*Assumptions!B9</f>
        <v>1015755224.1784496</v>
      </c>
      <c r="E10" s="18">
        <f>E6*Assumptions!B9</f>
        <v>1112937819.5041125</v>
      </c>
      <c r="F10" s="18">
        <f>F6*Assumptions!B9</f>
        <v>1219418380.1362007</v>
      </c>
    </row>
    <row r="11" spans="1:6" x14ac:dyDescent="0.25">
      <c r="A11" t="s">
        <v>47</v>
      </c>
      <c r="B11" s="18">
        <f>-B6*Assumptions!B10</f>
        <v>-846107203.4444584</v>
      </c>
      <c r="C11" s="18">
        <f>-C6*Assumptions!B10</f>
        <v>-927058688.6026832</v>
      </c>
      <c r="D11" s="18">
        <f>-D6*Assumptions!B10</f>
        <v>-1015755224.1784496</v>
      </c>
      <c r="E11" s="18">
        <f>-E6*Assumptions!B10</f>
        <v>-1112937819.5041125</v>
      </c>
      <c r="F11" s="18">
        <f>-F6*Assumptions!B10</f>
        <v>-1219418380.1362007</v>
      </c>
    </row>
    <row r="12" spans="1:6" x14ac:dyDescent="0.25">
      <c r="A12" t="s">
        <v>48</v>
      </c>
      <c r="B12" s="18">
        <f>-(B6-Assumptions!B29)*Assumptions!B11</f>
        <v>-54345640.14486115</v>
      </c>
      <c r="C12" s="18">
        <f>-(C6-B6)*Assumptions!B11</f>
        <v>-59545170.728800654</v>
      </c>
      <c r="D12" s="18">
        <f>-(D6-C6)*Assumptions!B11</f>
        <v>-65242167.49809116</v>
      </c>
      <c r="E12" s="18">
        <f>-(E6-D6)*Assumptions!B11</f>
        <v>-71484225.63494614</v>
      </c>
      <c r="F12" s="18">
        <f>-(F6-E6)*Assumptions!B11</f>
        <v>-78323494.00067681</v>
      </c>
    </row>
    <row r="13" spans="1:6" x14ac:dyDescent="0.25">
      <c r="A13" s="19" t="s">
        <v>49</v>
      </c>
      <c r="B13" s="20">
        <f>B9+B10+B11+B12</f>
        <v>1274652002.053481</v>
      </c>
      <c r="C13" s="20">
        <f>C9+C10+C11+C12</f>
        <v>1396604601.211216</v>
      </c>
      <c r="D13" s="20">
        <f>D9+D10+D11+D12</f>
        <v>1530225041.0167255</v>
      </c>
      <c r="E13" s="20">
        <f>E9+E10+E11+E12</f>
        <v>1676629644.585074</v>
      </c>
      <c r="F13" s="20">
        <f>F9+F10+F11+F12</f>
        <v>1837041539.4808226</v>
      </c>
    </row>
    <row r="14" spans="1:6" x14ac:dyDescent="0.25">
      <c r="A14" t="s">
        <v>50</v>
      </c>
      <c r="B14" s="21">
        <f>1/(1+Assumptions!$B$26)^(1-0.5*Assumptions!$B$32)</f>
        <v>0.9529433298032811</v>
      </c>
      <c r="C14" s="21">
        <f>1/(1+Assumptions!$B$26)^(2-0.5*Assumptions!$B$32)</f>
        <v>0.865368781033453</v>
      </c>
      <c r="D14" s="21">
        <f>1/(1+Assumptions!$B$26)^(3-0.5*Assumptions!$B$32)</f>
        <v>0.785842246612833</v>
      </c>
      <c r="E14" s="21">
        <f>1/(1+Assumptions!$B$26)^(4-0.5*Assumptions!$B$32)</f>
        <v>0.7136241219887869</v>
      </c>
      <c r="F14" s="21">
        <f>1/(1+Assumptions!$B$26)^(5-0.5*Assumptions!$B$32)</f>
        <v>0.6480427715349946</v>
      </c>
    </row>
    <row r="15" spans="1:6" x14ac:dyDescent="0.25">
      <c r="A15" s="19" t="s">
        <v>51</v>
      </c>
      <c r="B15" s="20">
        <f>B13*B14</f>
        <v>1214671123.177263</v>
      </c>
      <c r="C15" s="20">
        <f>C13*C14</f>
        <v>1208578021.3358617</v>
      </c>
      <c r="D15" s="20">
        <f>D13*D14</f>
        <v>1202515484.055798</v>
      </c>
      <c r="E15" s="20">
        <f>E13*E14</f>
        <v>1196483358.0173953</v>
      </c>
      <c r="F15" s="20">
        <f>F13*F14</f>
        <v>1190481490.6700654</v>
      </c>
    </row>
    <row r="17" spans="1:2" x14ac:dyDescent="0.25">
      <c r="A17" s="22" t="s">
        <v>52</v>
      </c>
      <c r="B17" s="23">
        <f>SUM(B15:F15)</f>
        <v>6012729477.256384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1837041539.4808226</v>
      </c>
    </row>
    <row r="5" spans="1:2" x14ac:dyDescent="0.25">
      <c r="A5" t="s">
        <v>56</v>
      </c>
      <c r="B5" s="18">
        <f>IF(Assumptions!$B$33=0,B4,B4-Forecast!F11-Forecast!F10-Forecast!F12)</f>
        <v>1915365033.4814994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0.2470377504621516</v>
      </c>
    </row>
    <row r="7" spans="1:2" x14ac:dyDescent="0.25">
      <c r="A7" t="s">
        <v>58</v>
      </c>
      <c r="B7" s="18">
        <f>-MAX(Forecast!F9,0)*B6</f>
        <v>-473167469.1851333</v>
      </c>
    </row>
    <row r="8" spans="1:2" x14ac:dyDescent="0.25">
      <c r="A8" t="s">
        <v>59</v>
      </c>
      <c r="B8" s="18">
        <f>IF(OR(Assumptions!$B$33=0,Assumptions!B12&lt;=0),B5,MAX(B5+B7,0))</f>
        <v>1442197564.2963662</v>
      </c>
    </row>
    <row r="9" spans="1:2" x14ac:dyDescent="0.25">
      <c r="A9" t="s">
        <v>60</v>
      </c>
      <c r="B9" s="18">
        <f>B8*(1+Assumptions!B12)/(Assumptions!B26-Assumptions!B12)</f>
        <v>19399866236.59046</v>
      </c>
    </row>
    <row r="10" spans="1:2" x14ac:dyDescent="0.25">
      <c r="A10" t="s">
        <v>61</v>
      </c>
      <c r="B10" s="18">
        <f>B9/(1+Assumptions!B26)^(5-0.5*Assumptions!B32)</f>
        <v>12571943083.368248</v>
      </c>
    </row>
    <row r="11" spans="1:2" x14ac:dyDescent="0.25">
      <c r="A11" t="s">
        <v>62</v>
      </c>
      <c r="B11" s="18">
        <f>Forecast!B17+B10</f>
        <v>18584672560.624634</v>
      </c>
    </row>
    <row r="12" spans="1:2" x14ac:dyDescent="0.25">
      <c r="A12" t="s">
        <v>63</v>
      </c>
      <c r="B12" s="18">
        <f>-Assumptions!B30</f>
        <v>-8127000000</v>
      </c>
    </row>
    <row r="13" spans="1:2" x14ac:dyDescent="0.25">
      <c r="A13" t="s">
        <v>64</v>
      </c>
      <c r="B13" s="18">
        <f>B11+B12</f>
        <v>10457672560.624634</v>
      </c>
    </row>
    <row r="14" spans="1:2" x14ac:dyDescent="0.25">
      <c r="A14" s="19" t="s">
        <v>65</v>
      </c>
      <c r="B14" s="24">
        <f>B13/Assumptions!B31</f>
        <v>34.77180042320925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3534333933.338169</v>
      </c>
    </row>
    <row r="18" spans="1:2" x14ac:dyDescent="0.25">
      <c r="A18" t="s">
        <v>60</v>
      </c>
      <c r="B18" s="18">
        <f>B17*Assumptions!B13</f>
        <v>70686678666.76338</v>
      </c>
    </row>
    <row r="19" spans="1:2" x14ac:dyDescent="0.25">
      <c r="A19" t="s">
        <v>61</v>
      </c>
      <c r="B19" s="18">
        <f>B18/(1+Assumptions!B26)^(5-0.5*Assumptions!B32)</f>
        <v>45807991153.81292</v>
      </c>
    </row>
    <row r="20" spans="1:2" x14ac:dyDescent="0.25">
      <c r="A20" t="s">
        <v>62</v>
      </c>
      <c r="B20" s="18">
        <f>Forecast!B17+B19</f>
        <v>51820720631.069305</v>
      </c>
    </row>
    <row r="21" spans="1:2" x14ac:dyDescent="0.25">
      <c r="A21" t="s">
        <v>63</v>
      </c>
      <c r="B21" s="18">
        <f>-Assumptions!B30</f>
        <v>-8127000000</v>
      </c>
    </row>
    <row r="22" spans="1:2" x14ac:dyDescent="0.25">
      <c r="A22" t="s">
        <v>64</v>
      </c>
      <c r="B22" s="18">
        <f>B20+B21</f>
        <v>43693720631.069305</v>
      </c>
    </row>
    <row r="23" spans="1:2" x14ac:dyDescent="0.25">
      <c r="A23" s="19" t="s">
        <v>65</v>
      </c>
      <c r="B23" s="25">
        <f>B22/Assumptions!B31</f>
        <v>145.28178471101933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139.5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34.77180042320925</v>
      </c>
    </row>
    <row r="29" spans="1:2" x14ac:dyDescent="0.25">
      <c r="A29" s="19" t="s">
        <v>73</v>
      </c>
      <c r="B29" s="12">
        <f>B28/B26-1</f>
        <v>-0.7507397819124785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0.081199</v>
      </c>
      <c r="B5" s="31">
        <v>49.93586843649311</v>
      </c>
      <c r="C5" s="31">
        <v>50.21185482155252</v>
      </c>
      <c r="D5" s="31">
        <v>50.48784120661194</v>
      </c>
      <c r="E5" s="31">
        <v>50.76382759167136</v>
      </c>
      <c r="F5" s="31">
        <v>51.03981397673077</v>
      </c>
    </row>
    <row r="6" spans="1:6" x14ac:dyDescent="0.25">
      <c r="A6" s="30">
        <v>0.091199</v>
      </c>
      <c r="B6" s="31">
        <v>41.28876449606002</v>
      </c>
      <c r="C6" s="31">
        <v>41.52451672342994</v>
      </c>
      <c r="D6" s="31">
        <v>41.76026895079983</v>
      </c>
      <c r="E6" s="31">
        <v>41.996021178169755</v>
      </c>
      <c r="F6" s="31">
        <v>42.23177340553965</v>
      </c>
    </row>
    <row r="7" spans="1:6" x14ac:dyDescent="0.25">
      <c r="A7" s="30">
        <v>0.101199</v>
      </c>
      <c r="B7" s="31">
        <v>34.36404574976727</v>
      </c>
      <c r="C7" s="31">
        <v>34.567957071297855</v>
      </c>
      <c r="D7" s="32">
        <v>34.771868392828424</v>
      </c>
      <c r="E7" s="31">
        <v>34.97577971435901</v>
      </c>
      <c r="F7" s="31">
        <v>35.17969103588958</v>
      </c>
    </row>
    <row r="8" spans="1:6" x14ac:dyDescent="0.25">
      <c r="A8" s="30">
        <v>0.111199</v>
      </c>
      <c r="B8" s="31">
        <v>28.69641582276835</v>
      </c>
      <c r="C8" s="31">
        <v>28.874591955150986</v>
      </c>
      <c r="D8" s="31">
        <v>29.052768087533615</v>
      </c>
      <c r="E8" s="31">
        <v>29.23094421991625</v>
      </c>
      <c r="F8" s="31">
        <v>29.409120352298878</v>
      </c>
    </row>
    <row r="9" spans="1:6" x14ac:dyDescent="0.25">
      <c r="A9" s="30">
        <v>0.121199</v>
      </c>
      <c r="B9" s="31">
        <v>23.974176271566396</v>
      </c>
      <c r="C9" s="31">
        <v>24.131191763241056</v>
      </c>
      <c r="D9" s="31">
        <v>24.288207254915697</v>
      </c>
      <c r="E9" s="31">
        <v>24.445222746590346</v>
      </c>
      <c r="F9" s="31">
        <v>24.60223823826499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40550000000</v>
      </c>
      <c r="C5" s="18">
        <v>35767000000</v>
      </c>
      <c r="D5" s="18">
        <v>31949000000</v>
      </c>
      <c r="E5" s="18">
        <v>30828000000</v>
      </c>
      <c r="F5" s="8" t="s">
        <v>84</v>
      </c>
    </row>
    <row r="6" spans="1:6" x14ac:dyDescent="0.25">
      <c r="A6" t="s">
        <v>44</v>
      </c>
      <c r="B6" s="18">
        <v>1294000000</v>
      </c>
      <c r="C6" s="18">
        <v>1271000000</v>
      </c>
      <c r="D6" s="18">
        <v>1090000000</v>
      </c>
      <c r="E6" s="18">
        <v>1327000000</v>
      </c>
      <c r="F6" s="8" t="s">
        <v>85</v>
      </c>
    </row>
    <row r="7" spans="1:6" x14ac:dyDescent="0.25">
      <c r="A7" t="s">
        <v>86</v>
      </c>
      <c r="B7" s="18">
        <v>729000000</v>
      </c>
      <c r="C7" s="18">
        <v>674000000</v>
      </c>
      <c r="D7" s="18">
        <v>622000000</v>
      </c>
      <c r="E7" s="18">
        <v>613000000</v>
      </c>
      <c r="F7" s="8" t="s">
        <v>87</v>
      </c>
    </row>
    <row r="8" spans="1:6" x14ac:dyDescent="0.25">
      <c r="A8" t="s">
        <v>88</v>
      </c>
      <c r="B8" s="18">
        <v>366000000</v>
      </c>
      <c r="C8" s="18">
        <v>307000000</v>
      </c>
      <c r="D8" s="18">
        <v>305000000</v>
      </c>
      <c r="E8" s="18">
        <v>260000000</v>
      </c>
      <c r="F8" s="8" t="s">
        <v>89</v>
      </c>
    </row>
    <row r="9" spans="1:6" x14ac:dyDescent="0.25">
      <c r="A9" t="s">
        <v>90</v>
      </c>
      <c r="B9" s="18">
        <v>67000000</v>
      </c>
      <c r="C9" s="18">
        <v>-93000000</v>
      </c>
      <c r="D9" s="18">
        <v>944000000</v>
      </c>
      <c r="E9" s="18">
        <v>574000000</v>
      </c>
      <c r="F9" s="8" t="s">
        <v>91</v>
      </c>
    </row>
    <row r="10" spans="1:6" x14ac:dyDescent="0.25">
      <c r="A10" t="s">
        <v>92</v>
      </c>
      <c r="B10" s="18">
        <v>9991000000</v>
      </c>
      <c r="C10" s="18">
        <v>5694000000</v>
      </c>
      <c r="D10" s="18">
        <v>4826000000</v>
      </c>
      <c r="E10" s="18">
        <v>3493000000</v>
      </c>
      <c r="F10" s="8" t="s">
        <v>93</v>
      </c>
    </row>
    <row r="11" spans="1:6" x14ac:dyDescent="0.25">
      <c r="A11" t="s">
        <v>94</v>
      </c>
      <c r="B11" s="18">
        <v>1864000000</v>
      </c>
      <c r="C11" s="18">
        <v>1114000000</v>
      </c>
      <c r="D11" s="18">
        <v>1265000000</v>
      </c>
      <c r="E11" s="18">
        <v>1318000000</v>
      </c>
      <c r="F11" s="8" t="s">
        <v>95</v>
      </c>
    </row>
    <row r="12" spans="1:6" x14ac:dyDescent="0.25">
      <c r="A12" t="s">
        <v>32</v>
      </c>
      <c r="B12" s="34">
        <v>300751541</v>
      </c>
      <c r="C12" s="34">
        <v>308033612</v>
      </c>
      <c r="D12" s="34">
        <v>312550942</v>
      </c>
      <c r="E12" s="34">
        <v>327696115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