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<sst xmlns="http://schemas.openxmlformats.org/spreadsheetml/2006/main" count="121" uniqueCount="108">
  <si>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CBRE Group, Inc. (CBRE)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</si>
  <si>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</si>
  <si>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</si>
  <si>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</si>
  <si>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</si>
  <si>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</si>
  <si>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</si>
  <si>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</si>
  <si>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</si>
  <si>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</si>
  <si>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</si>
  <si>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</si>
  <si>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</si>
  <si>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</si>
  <si>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</si>
  <si>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</si>
  <si>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</si>
  <si>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</si>
  <si>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</si>
  <si>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</si>
  <si>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</si>
  <si>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</si>
  <si>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</si>
  <si>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</si>
  <si>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</si>
  <si>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</si>
  <si>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</si>
  <si>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</si>
  <si>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</si>
  <si>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</si>
  <si>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</si>
  <si>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</si>
  <si>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</si>
  <si>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</si>
  <si>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</si>
  <si>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</si>
  <si>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</si>
  <si>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</si>
  <si>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</si>
  <si>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</si>
  <si>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</si>
  <si>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</si>
  <si>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</si>
  <si>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</si>
  <si>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</si>
  <si>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</si>
  <si>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</si>
  <si>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</si>
  <si>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</si>
  <si>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</si>
  <si>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</si>
  <si>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</si>
  <si>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</si>
  <si>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</si>
  <si>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</si>
  <si>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</si>
  <si>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</si>
  <si>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</si>
  <si>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</si>
  <si>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</si>
  <si>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</si>
  <si>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</si>
  <si>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</si>
  <si>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</si>
  <si>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</si>
  <si>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</si>
  <si>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</si>
  <si>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</si>
  <si>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</si>
  <si>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</si>
  <si>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</si>
  <si>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</si>
  <si>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</si>
  <si>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</si>
  <si>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</si>
  <si>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</si>
  <si>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</si>
  <si>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</si>
  <si>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</si>
  <si>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</si>
  <si>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</si>
  <si>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</si>
  <si>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</si>
  <si>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</si>
  <si>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</si>
  <si>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</si>
  <si>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</si>
  <si>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</si>
  <si>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</si>
  <si>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</si>
  <si>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</si>
  <si>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</si>
  <si>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</si>
  <si>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</si>
  <si>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</si>
  <si>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</si>
  <si>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</si>
  <si>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</si>
  <si>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</si>
  <si>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</si>
  <si>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</si>
  <si>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</si>
  <si>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</si>
  <si>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</si>
  <si>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</si>
  <si>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0.89% of revenue, which is too low to be the company's real investment - property trusts and similar structures invest through lines that are not reported as capex. Capex has been set to 1.90%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</si>
  <si>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23.5x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</si>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</sst>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0.14810613884093704</v>
      </c>
    </row>
    <row r="7" spans="1:2" x14ac:dyDescent="0.25">
      <c r="A7" t="s">
        <v>4</v>
      </c>
      <c r="B7" s="5">
        <v>0.03615223188003191</v>
      </c>
    </row>
    <row r="8" spans="1:2" x14ac:dyDescent="0.25">
      <c r="A8" t="s">
        <v>5</v>
      </c>
      <c r="B8" s="5">
        <v>0.17259831321614055</v>
      </c>
    </row>
    <row r="9" spans="1:2" x14ac:dyDescent="0.25">
      <c r="A9" t="s">
        <v>6</v>
      </c>
      <c r="B9" s="5">
        <v>0.019043759923112233</v>
      </c>
    </row>
    <row r="10" spans="1:3" x14ac:dyDescent="0.25">
      <c r="A10" t="s">
        <v>7</v>
      </c>
      <c r="B10" s="5">
        <v>0.019043759923112233</v>
      </c>
      <c r="C10" s="6" t="s">
        <v>8</v>
      </c>
    </row>
    <row r="11" spans="1:2" x14ac:dyDescent="0.25">
      <c r="A11" t="s">
        <v>9</v>
      </c>
      <c r="B11" s="5">
        <v>0.08307285297702072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0.08945594668272819</v>
      </c>
      <c r="C14" s="6" t="s">
        <v>13</v>
      </c>
    </row>
    <row r="15" spans="1:3" x14ac:dyDescent="0.25">
      <c r="A15" t="s">
        <v>14</v>
      </c>
      <c r="B15" s="5">
        <v>0.019043759923112233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1.15209</v>
      </c>
      <c r="C19" s="6" t="s">
        <v>21</v>
      </c>
    </row>
    <row r="20" spans="1:2" x14ac:dyDescent="0.25">
      <c r="A20" t="s">
        <v>22</v>
      </c>
      <c r="B20" s="9">
        <f>B17+B19*B18</f>
        <v>0.097673407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39410839552</v>
      </c>
    </row>
    <row r="23" spans="1:2" x14ac:dyDescent="0.25">
      <c r="A23" t="s">
        <v>26</v>
      </c>
      <c r="B23" s="10">
        <v>9991000000</v>
      </c>
    </row>
    <row r="24" spans="1:2" x14ac:dyDescent="0.25">
      <c r="A24" t="s">
        <v>27</v>
      </c>
      <c r="B24" s="9">
        <f>B22/(B22+B23)</f>
        <v>0.7977605674079494</v>
      </c>
    </row>
    <row r="25" spans="1:2" x14ac:dyDescent="0.25">
      <c r="A25" t="s">
        <v>28</v>
      </c>
      <c r="B25" s="9">
        <f>1-B24</f>
        <v>0.20223943259205057</v>
      </c>
    </row>
    <row r="26" spans="1:2" x14ac:dyDescent="0.25">
      <c r="A26" t="s">
        <v>29</v>
      </c>
      <c r="B26" s="11">
        <f>B24*B20+B25*B21*(1-B8)</f>
        <v>0.08945594668272819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40550000000</v>
      </c>
      <c r="C29" s="6" t="s">
        <v>32</v>
      </c>
    </row>
    <row r="30" spans="1:2" x14ac:dyDescent="0.25">
      <c r="A30" t="s">
        <v>33</v>
      </c>
      <c r="B30" s="10">
        <v>8127000000</v>
      </c>
    </row>
    <row r="31" spans="1:2" x14ac:dyDescent="0.25">
      <c r="A31" t="s">
        <v>34</v>
      </c>
      <c r="B31" s="12">
        <v>300751541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0.14810613884093704</v>
      </c>
      <c r="C5" s="5">
        <v>0.10746552361280126</v>
      </c>
      <c r="D5" s="5">
        <v>0.0971573331612011</v>
      </c>
      <c r="E5" s="5">
        <v>0.08684914270960095</v>
      </c>
      <c r="F5" s="5">
        <v>0.07654095225800078</v>
      </c>
      <c r="G5" s="5">
        <v>0.06623276180640063</v>
      </c>
      <c r="H5" s="5">
        <v>0.05592457135480047</v>
      </c>
      <c r="I5" s="5">
        <v>0.04561638090320031</v>
      </c>
      <c r="J5" s="5">
        <v>0.03530819045160015</v>
      </c>
      <c r="K5" s="5">
        <v>0.024999999999999994</v>
      </c>
    </row>
    <row r="6" spans="1:11" x14ac:dyDescent="0.25">
      <c r="A6" t="s">
        <v>50</v>
      </c>
      <c r="B6" s="18">
        <f>Assumptions!B29*(1+B5)</f>
        <v>46555703930</v>
      </c>
      <c r="C6" s="18">
        <f>B6*(1+C5)</f>
        <v>51558837030</v>
      </c>
      <c r="D6" s="18">
        <f>C6*(1+D5)</f>
        <v>56568156136.727776</v>
      </c>
      <c r="E6" s="18">
        <f>D6*(1+E5)</f>
        <v>61481052001.86544</v>
      </c>
      <c r="F6" s="18">
        <f>E6*(1+F5)</f>
        <v>66186870267.91188</v>
      </c>
      <c r="G6" s="18">
        <f>F6*(1+G5)</f>
        <v>70570609481.07764</v>
      </c>
      <c r="H6" s="18">
        <f>G6*(1+H5)</f>
        <v>74517240566.55392</v>
      </c>
      <c r="I6" s="18">
        <f>H6*(1+I5)</f>
        <v>77916447396.09326</v>
      </c>
      <c r="J6" s="18">
        <f>I6*(1+J5)</f>
        <v>80667536160.0666</v>
      </c>
      <c r="K6" s="18">
        <f>J6*(1+K5)</f>
        <v>82684224564.06827</v>
      </c>
    </row>
    <row r="7" spans="1:11" x14ac:dyDescent="0.25">
      <c r="A7" t="s">
        <v>4</v>
      </c>
      <c r="B7" s="9">
        <f>Assumptions!B7</f>
        <v>0.03615223188003191</v>
      </c>
      <c r="C7" s="9">
        <f>Assumptions!B7</f>
        <v>0.03615223188003191</v>
      </c>
      <c r="D7" s="9">
        <f>Assumptions!B7</f>
        <v>0.03615223188003191</v>
      </c>
      <c r="E7" s="9">
        <f>Assumptions!B7</f>
        <v>0.03615223188003191</v>
      </c>
      <c r="F7" s="9">
        <f>Assumptions!B7</f>
        <v>0.03615223188003191</v>
      </c>
      <c r="G7" s="9">
        <f>Assumptions!B7</f>
        <v>0.03615223188003191</v>
      </c>
      <c r="H7" s="9">
        <f>Assumptions!B7</f>
        <v>0.03615223188003191</v>
      </c>
      <c r="I7" s="9">
        <f>Assumptions!B7</f>
        <v>0.03615223188003191</v>
      </c>
      <c r="J7" s="9">
        <f>Assumptions!B7</f>
        <v>0.03615223188003191</v>
      </c>
      <c r="K7" s="9">
        <f>Assumptions!B7</f>
        <v>0.03615223188003191</v>
      </c>
    </row>
    <row r="8" spans="1:11" x14ac:dyDescent="0.25">
      <c r="A8" t="s">
        <v>51</v>
      </c>
      <c r="B8" s="18">
        <f>B6*B7</f>
        <v>1683092603.8154728</v>
      </c>
      <c r="C8" s="18">
        <f>C6*C7</f>
        <v>1863967031.7733357</v>
      </c>
      <c r="D8" s="18">
        <f>D6*D7</f>
        <v>2045065097.6808326</v>
      </c>
      <c r="E8" s="18">
        <f>E6*E7</f>
        <v>2222677248.1997395</v>
      </c>
      <c r="F8" s="18">
        <f>F6*F7</f>
        <v>2392803081.33914</v>
      </c>
      <c r="G8" s="18">
        <f>G6*G7</f>
        <v>2551285037.875097</v>
      </c>
      <c r="H8" s="18">
        <f>H6*H7</f>
        <v>2693964560.0221777</v>
      </c>
      <c r="I8" s="18">
        <f>I6*I7</f>
        <v>2816853473.531872</v>
      </c>
      <c r="J8" s="18">
        <f>J6*J7</f>
        <v>2916311472.449587</v>
      </c>
      <c r="K8" s="18">
        <f>K6*K7</f>
        <v>2989219259.260826</v>
      </c>
    </row>
    <row r="9" spans="1:11" x14ac:dyDescent="0.25">
      <c r="A9" t="s">
        <v>52</v>
      </c>
      <c r="B9" s="18">
        <f>B8*(1-Assumptions!B8)</f>
        <v>1392593659.41036</v>
      </c>
      <c r="C9" s="18">
        <f>C8*(1-Assumptions!B8)</f>
        <v>1542249466.1987617</v>
      </c>
      <c r="D9" s="18">
        <f>D8*(1-Assumptions!B8)</f>
        <v>1692090311.403919</v>
      </c>
      <c r="E9" s="18">
        <f>E8*(1-Assumptions!B8)</f>
        <v>1839046904.3365712</v>
      </c>
      <c r="F9" s="18">
        <f>F8*(1-Assumptions!B8)</f>
        <v>1979809305.6416206</v>
      </c>
      <c r="G9" s="18">
        <f>G8*(1-Assumptions!B8)</f>
        <v>2110937543.8042777</v>
      </c>
      <c r="H9" s="18">
        <f>H8*(1-Assumptions!B8)</f>
        <v>2228990821.0982876</v>
      </c>
      <c r="I9" s="18">
        <f>I8*(1-Assumptions!B8)</f>
        <v>2330669315.423244</v>
      </c>
      <c r="J9" s="18">
        <f>J8*(1-Assumptions!B8)</f>
        <v>2412961031.491909</v>
      </c>
      <c r="K9" s="18">
        <f>K8*(1-Assumptions!B8)</f>
        <v>2473285057.2792063</v>
      </c>
    </row>
    <row r="10" spans="1:11" x14ac:dyDescent="0.25">
      <c r="A10" t="s">
        <v>53</v>
      </c>
      <c r="B10" s="18">
        <f>B6*Assumptions!B9</f>
        <v>886595648.6944127</v>
      </c>
      <c r="C10" s="18">
        <f>C6*Assumptions!B9</f>
        <v>981874114.314189</v>
      </c>
      <c r="D10" s="18">
        <f>D6*Assumptions!B9</f>
        <v>1077270384.7609718</v>
      </c>
      <c r="E10" s="18">
        <f>E6*Assumptions!B9</f>
        <v>1170830394.1439042</v>
      </c>
      <c r="F10" s="18">
        <f>F6*Assumptions!B9</f>
        <v>1260446867.444289</v>
      </c>
      <c r="G10" s="18">
        <f>G6*Assumptions!B9</f>
        <v>1343929744.5853505</v>
      </c>
      <c r="H10" s="18">
        <f>H6*Assumptions!B9</f>
        <v>1419088439.4822528</v>
      </c>
      <c r="I10" s="18">
        <f>I6*Assumptions!B9</f>
        <v>1483822118.2730033</v>
      </c>
      <c r="J10" s="18">
        <f>J6*Assumptions!B9</f>
        <v>1536213192.2212832</v>
      </c>
      <c r="K10" s="18">
        <f>K6*Assumptions!B9</f>
        <v>1574618522.0268154</v>
      </c>
    </row>
    <row r="11" spans="1:11" x14ac:dyDescent="0.25">
      <c r="A11" t="s">
        <v>54</v>
      </c>
      <c r="B11" s="18">
        <f>-B6*B19</f>
        <v>-886595648.6944127</v>
      </c>
      <c r="C11" s="18">
        <f>-C6*C19</f>
        <v>-1029763902.0126038</v>
      </c>
      <c r="D11" s="18">
        <f>-D6*D19</f>
        <v>-1182355648.2746694</v>
      </c>
      <c r="E11" s="18">
        <f>-E6*E19</f>
        <v>-1342148136.9858162</v>
      </c>
      <c r="F11" s="18">
        <f>-F6*F19</f>
        <v>-1506354288.8012533</v>
      </c>
      <c r="G11" s="18">
        <f>-G6*G19</f>
        <v>-1671672930.8630087</v>
      </c>
      <c r="H11" s="18">
        <f>-H6*H19</f>
        <v>-1834374939.663884</v>
      </c>
      <c r="I11" s="18">
        <f>-I6*I19</f>
        <v>-1990424213.5238557</v>
      </c>
      <c r="J11" s="18">
        <f>-J6*J19</f>
        <v>-2135629533.379168</v>
      </c>
      <c r="K11" s="18">
        <f>-K6*K19</f>
        <v>-2265820490.4245014</v>
      </c>
    </row>
    <row r="12" spans="1:11" x14ac:dyDescent="0.25">
      <c r="A12" t="s">
        <v>55</v>
      </c>
      <c r="B12" s="18">
        <f>-(B6-Assumptions!B29)*Assumptions!B11</f>
        <v>-498910959.6004055</v>
      </c>
      <c r="C12" s="18">
        <f>-(C6-B6)*Assumptions!B11</f>
        <v>-415624540.4407659</v>
      </c>
      <c r="D12" s="18">
        <f>-(D6-C6)*Assumptions!B11</f>
        <v>-416138429.66817725</v>
      </c>
      <c r="E12" s="18">
        <f>-(E6-D6)*Assumptions!B11</f>
        <v>-408128275.89599425</v>
      </c>
      <c r="F12" s="18">
        <f>-(F6-E6)*Assumptions!B11</f>
        <v>-390925748.95185447</v>
      </c>
      <c r="G12" s="18">
        <f>-(G6-F6)*Assumptions!B11</f>
        <v>-364169723.14491934</v>
      </c>
      <c r="H12" s="18">
        <f>-(H6-G6)*Assumptions!B11</f>
        <v>-327857903.91831136</v>
      </c>
      <c r="I12" s="18">
        <f>-(I6-H6)*Assumptions!B11</f>
        <v>-282381809.18880606</v>
      </c>
      <c r="J12" s="18">
        <f>-(J6-I6)*Assumptions!B11</f>
        <v>-228540792.41629118</v>
      </c>
      <c r="K12" s="18">
        <f>-(K6-J6)*Assumptions!B11</f>
        <v>-167532059.28609273</v>
      </c>
    </row>
    <row r="13" spans="1:11" x14ac:dyDescent="0.25">
      <c r="A13" s="19" t="s">
        <v>56</v>
      </c>
      <c r="B13" s="20">
        <f>B9+B10+B11+B12</f>
        <v>893682699.8099544</v>
      </c>
      <c r="C13" s="20">
        <f>C9+C10+C11+C12</f>
        <v>1078735138.0595813</v>
      </c>
      <c r="D13" s="20">
        <f>D9+D10+D11+D12</f>
        <v>1170866618.222044</v>
      </c>
      <c r="E13" s="20">
        <f>E9+E10+E11+E12</f>
        <v>1259600885.598665</v>
      </c>
      <c r="F13" s="20">
        <f>F9+F10+F11+F12</f>
        <v>1342976135.332802</v>
      </c>
      <c r="G13" s="20">
        <f>G9+G10+G11+G12</f>
        <v>1419024634.3817003</v>
      </c>
      <c r="H13" s="20">
        <f>H9+H10+H11+H12</f>
        <v>1485846416.9983454</v>
      </c>
      <c r="I13" s="20">
        <f>I9+I10+I11+I12</f>
        <v>1541685410.9835854</v>
      </c>
      <c r="J13" s="20">
        <f>J9+J10+J11+J12</f>
        <v>1585003897.9177327</v>
      </c>
      <c r="K13" s="20">
        <f>K9+K10+K11+K12</f>
        <v>1614551029.5954275</v>
      </c>
    </row>
    <row r="14" spans="1:11" x14ac:dyDescent="0.25">
      <c r="A14" t="s">
        <v>57</v>
      </c>
      <c r="B14" s="21">
        <f>1/(1+Assumptions!$B$26)^(1-0.5*Assumptions!$B$32)</f>
        <v>0.958065415370367</v>
      </c>
      <c r="C14" s="21">
        <f>1/(1+Assumptions!$B$26)^(2-0.5*Assumptions!$B$32)</f>
        <v>0.8793980319145251</v>
      </c>
      <c r="D14" s="21">
        <f>1/(1+Assumptions!$B$26)^(3-0.5*Assumptions!$B$32)</f>
        <v>0.8071900792245836</v>
      </c>
      <c r="E14" s="21">
        <f>1/(1+Assumptions!$B$26)^(4-0.5*Assumptions!$B$32)</f>
        <v>0.740911169177962</v>
      </c>
      <c r="F14" s="21">
        <f>1/(1+Assumptions!$B$26)^(5-0.5*Assumptions!$B$32)</f>
        <v>0.6800744641708126</v>
      </c>
      <c r="G14" s="21">
        <f>1/(1+Assumptions!$B$26)^(6-0.5*Assumptions!$B$32)</f>
        <v>0.6242331011561905</v>
      </c>
      <c r="H14" s="21">
        <f>1/(1+Assumptions!$B$26)^(7-0.5*Assumptions!$B$32)</f>
        <v>0.5729769093068063</v>
      </c>
      <c r="I14" s="21">
        <f>1/(1+Assumptions!$B$26)^(8-0.5*Assumptions!$B$32)</f>
        <v>0.5259293971926603</v>
      </c>
      <c r="J14" s="21">
        <f>1/(1+Assumptions!$B$26)^(9-0.5*Assumptions!$B$32)</f>
        <v>0.4827449873435054</v>
      </c>
      <c r="K14" s="21">
        <f>1/(1+Assumptions!$B$26)^(10-0.5*Assumptions!$B$32)</f>
        <v>0.4431064778832131</v>
      </c>
    </row>
    <row r="15" spans="1:11" x14ac:dyDescent="0.25">
      <c r="A15" s="19" t="s">
        <v>58</v>
      </c>
      <c r="B15" s="20">
        <f>B13*B14</f>
        <v>856206487.002735</v>
      </c>
      <c r="C15" s="20">
        <f>C13*C14</f>
        <v>948637557.3666394</v>
      </c>
      <c r="D15" s="20">
        <f>D13*D14</f>
        <v>945111918.324072</v>
      </c>
      <c r="E15" s="20">
        <f>E13*E14</f>
        <v>933252364.8465031</v>
      </c>
      <c r="F15" s="20">
        <f>F13*F14</f>
        <v>913323775.6306441</v>
      </c>
      <c r="G15" s="20">
        <f>G13*G14</f>
        <v>885802148.1371181</v>
      </c>
      <c r="H15" s="20">
        <f>H13*H14</f>
        <v>851355687.7163041</v>
      </c>
      <c r="I15" s="20">
        <f>I13*I14</f>
        <v>810817678.8593158</v>
      </c>
      <c r="J15" s="20">
        <f>J13*J14</f>
        <v>765152686.6397026</v>
      </c>
      <c r="K15" s="20">
        <f>K13*K14</f>
        <v>715418020.0867453</v>
      </c>
    </row>
    <row r="17" spans="1:2" x14ac:dyDescent="0.25">
      <c r="A17" s="22" t="s">
        <v>59</v>
      </c>
      <c r="B17" s="23">
        <f>SUM(B15:K15)</f>
        <v>8625078324.60978</v>
      </c>
    </row>
    <row r="19" spans="1:11" x14ac:dyDescent="0.25">
      <c r="A19" t="s">
        <v>7</v>
      </c>
      <c r="B19" s="9">
        <f>Assumptions!$B$10+($B$20-Assumptions!$B$10)*0/9</f>
        <v>0.019043759923112233</v>
      </c>
      <c r="C19" s="9">
        <f>Assumptions!$B$10+($B$20-Assumptions!$B$10)*1/9</f>
        <v>0.01997259754740833</v>
      </c>
      <c r="D19" s="9">
        <f>Assumptions!$B$10+($B$20-Assumptions!$B$10)*2/9</f>
        <v>0.020901435171704424</v>
      </c>
      <c r="E19" s="9">
        <f>Assumptions!$B$10+($B$20-Assumptions!$B$10)*3/9</f>
        <v>0.021830272796000517</v>
      </c>
      <c r="F19" s="9">
        <f>Assumptions!$B$10+($B$20-Assumptions!$B$10)*4/9</f>
        <v>0.022759110420296613</v>
      </c>
      <c r="G19" s="9">
        <f>Assumptions!$B$10+($B$20-Assumptions!$B$10)*5/9</f>
        <v>0.02368794804459271</v>
      </c>
      <c r="H19" s="9">
        <f>Assumptions!$B$10+($B$20-Assumptions!$B$10)*6/9</f>
        <v>0.0246167856688888</v>
      </c>
      <c r="I19" s="9">
        <f>Assumptions!$B$10+($B$20-Assumptions!$B$10)*7/9</f>
        <v>0.025545623293184896</v>
      </c>
      <c r="J19" s="9">
        <f>Assumptions!$B$10+($B$20-Assumptions!$B$10)*8/9</f>
        <v>0.026474460917480992</v>
      </c>
      <c r="K19" s="9">
        <f>Assumptions!$B$10+($B$20-Assumptions!$B$10)*9/9</f>
        <v>0.027403298541777088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0.027403298541777088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1614551029.5954275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2473285057.2792063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0.2794671671036813</v>
      </c>
    </row>
    <row r="7" spans="1:2" x14ac:dyDescent="0.25">
      <c r="A7" t="s">
        <v>66</v>
      </c>
      <c r="B7" s="18">
        <f>-MAX(B5,0)*B6</f>
        <v>-691201968.3976859</v>
      </c>
    </row>
    <row r="8" spans="1:2" x14ac:dyDescent="0.25">
      <c r="A8" t="s">
        <v>67</v>
      </c>
      <c r="B8" s="18">
        <f>IF(OR(Assumptions!$B$33=0,Assumptions!B12&lt;=0),B5,MAX(B5+B7,0))</f>
        <v>1782083088.8815203</v>
      </c>
    </row>
    <row r="9" spans="1:2" x14ac:dyDescent="0.25">
      <c r="A9" t="s">
        <v>68</v>
      </c>
      <c r="B9" s="18">
        <f>B8*(1+Assumptions!B12)/(Assumptions!B26-Assumptions!B12)</f>
        <v>28339280704.30511</v>
      </c>
    </row>
    <row r="10" spans="1:2" x14ac:dyDescent="0.25">
      <c r="A10" t="s">
        <v>69</v>
      </c>
      <c r="B10" s="18">
        <f>B9/(1+Assumptions!B26)^(10-0.5*Assumptions!B32)</f>
        <v>12557318858.628342</v>
      </c>
    </row>
    <row r="11" spans="1:2" x14ac:dyDescent="0.25">
      <c r="A11" t="s">
        <v>70</v>
      </c>
      <c r="B11" s="18">
        <f>Forecast!B17+B10</f>
        <v>21182397183.23812</v>
      </c>
    </row>
    <row r="12" spans="1:2" x14ac:dyDescent="0.25">
      <c r="A12" t="s">
        <v>71</v>
      </c>
      <c r="B12" s="18">
        <f>-Assumptions!B30</f>
        <v>-8127000000</v>
      </c>
    </row>
    <row r="13" spans="1:2" x14ac:dyDescent="0.25">
      <c r="A13" t="s">
        <v>72</v>
      </c>
      <c r="B13" s="18">
        <f>B11+B12</f>
        <v>13055397183.238121</v>
      </c>
    </row>
    <row r="14" spans="1:2" x14ac:dyDescent="0.25">
      <c r="A14" s="19" t="s">
        <v>73</v>
      </c>
      <c r="B14" s="24">
        <f>B13/Assumptions!B31</f>
        <v>43.4092445206727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4563837781.287642</v>
      </c>
    </row>
    <row r="18" spans="1:2" x14ac:dyDescent="0.25">
      <c r="A18" t="s">
        <v>68</v>
      </c>
      <c r="B18" s="18">
        <f>B17*Assumptions!B13</f>
        <v>91276755625.75284</v>
      </c>
    </row>
    <row r="19" spans="1:2" x14ac:dyDescent="0.25">
      <c r="A19" t="s">
        <v>69</v>
      </c>
      <c r="B19" s="18">
        <f>B18/(1+Assumptions!B26)^(10-0.5*Assumptions!B32)</f>
        <v>40445321697.9341</v>
      </c>
    </row>
    <row r="20" spans="1:2" x14ac:dyDescent="0.25">
      <c r="A20" t="s">
        <v>70</v>
      </c>
      <c r="B20" s="18">
        <f>Forecast!B17+B19</f>
        <v>49070400022.54388</v>
      </c>
    </row>
    <row r="21" spans="1:2" x14ac:dyDescent="0.25">
      <c r="A21" t="s">
        <v>71</v>
      </c>
      <c r="B21" s="18">
        <f>-Assumptions!B30</f>
        <v>-8127000000</v>
      </c>
    </row>
    <row r="22" spans="1:2" x14ac:dyDescent="0.25">
      <c r="A22" t="s">
        <v>72</v>
      </c>
      <c r="B22" s="18">
        <f>B20+B21</f>
        <v>40943400022.54388</v>
      </c>
    </row>
    <row r="23" spans="1:2" x14ac:dyDescent="0.25">
      <c r="A23" s="19" t="s">
        <v>73</v>
      </c>
      <c r="B23" s="25">
        <f>B22/Assumptions!B31</f>
        <v>136.1369583889975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136.75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43.4092445206727</v>
      </c>
    </row>
    <row r="29" spans="1:2" x14ac:dyDescent="0.25">
      <c r="A29" s="19" t="s">
        <v>81</v>
      </c>
      <c r="B29" s="11">
        <f>B28/B26-1</f>
        <v>-0.6825649395197608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0.069456</v>
      </c>
      <c r="B5" s="31">
        <v>72.32697326772566</v>
      </c>
      <c r="C5" s="31">
        <v>72.29060302667331</v>
      </c>
      <c r="D5" s="31">
        <v>72.51161662742574</v>
      </c>
      <c r="E5" s="31">
        <v>73.08786376653289</v>
      </c>
      <c r="F5" s="31">
        <v>74.17399103893668</v>
      </c>
    </row>
    <row r="6" spans="1:6" x14ac:dyDescent="0.25">
      <c r="A6" s="30">
        <v>0.079456</v>
      </c>
      <c r="B6" s="31">
        <v>55.87834303695674</v>
      </c>
      <c r="C6" s="31">
        <v>54.80643164689523</v>
      </c>
      <c r="D6" s="31">
        <v>53.74248612017453</v>
      </c>
      <c r="E6" s="31">
        <v>52.68892250237284</v>
      </c>
      <c r="F6" s="31">
        <v>51.64924377697457</v>
      </c>
    </row>
    <row r="7" spans="1:6" x14ac:dyDescent="0.25">
      <c r="A7" s="30">
        <v>0.089456</v>
      </c>
      <c r="B7" s="31">
        <v>45.29705846109151</v>
      </c>
      <c r="C7" s="31">
        <v>44.35312768554324</v>
      </c>
      <c r="D7" s="32">
        <v>43.40919690999495</v>
      </c>
      <c r="E7" s="31">
        <v>42.46526613444667</v>
      </c>
      <c r="F7" s="31">
        <v>41.52133535889839</v>
      </c>
    </row>
    <row r="8" spans="1:6" x14ac:dyDescent="0.25">
      <c r="A8" s="30">
        <v>0.099456</v>
      </c>
      <c r="B8" s="31">
        <v>37.01756925835334</v>
      </c>
      <c r="C8" s="31">
        <v>36.21414859315494</v>
      </c>
      <c r="D8" s="31">
        <v>35.41072792795653</v>
      </c>
      <c r="E8" s="31">
        <v>34.60730726275811</v>
      </c>
      <c r="F8" s="31">
        <v>33.80388659755971</v>
      </c>
    </row>
    <row r="9" spans="1:6" x14ac:dyDescent="0.25">
      <c r="A9" s="30">
        <v>0.109456</v>
      </c>
      <c r="B9" s="31">
        <v>30.313951832918566</v>
      </c>
      <c r="C9" s="31">
        <v>29.62257057028949</v>
      </c>
      <c r="D9" s="31">
        <v>28.9311893076604</v>
      </c>
      <c r="E9" s="31">
        <v>28.239808045031335</v>
      </c>
      <c r="F9" s="31">
        <v>27.548426782402245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40550000000</v>
      </c>
      <c r="C5" s="18">
        <v>35767000000</v>
      </c>
      <c r="D5" s="18">
        <v>31949000000</v>
      </c>
      <c r="E5" s="18">
        <v>30828000000</v>
      </c>
      <c r="F5" s="6" t="s">
        <v>91</v>
      </c>
    </row>
    <row r="6" spans="1:6" x14ac:dyDescent="0.25">
      <c r="A6" t="s">
        <v>51</v>
      </c>
      <c r="B6" s="18">
        <v>1294000000</v>
      </c>
      <c r="C6" s="18">
        <v>1271000000</v>
      </c>
      <c r="D6" s="18">
        <v>1090000000</v>
      </c>
      <c r="E6" s="18">
        <v>1327000000</v>
      </c>
      <c r="F6" s="6" t="s">
        <v>92</v>
      </c>
    </row>
    <row r="7" spans="1:6" x14ac:dyDescent="0.25">
      <c r="A7" t="s">
        <v>93</v>
      </c>
      <c r="B7" s="18">
        <v>729000000</v>
      </c>
      <c r="C7" s="18">
        <v>674000000</v>
      </c>
      <c r="D7" s="18">
        <v>622000000</v>
      </c>
      <c r="E7" s="18">
        <v>613000000</v>
      </c>
      <c r="F7" s="6" t="s">
        <v>94</v>
      </c>
    </row>
    <row r="8" spans="1:6" x14ac:dyDescent="0.25">
      <c r="A8" t="s">
        <v>95</v>
      </c>
      <c r="B8" s="18">
        <v>366000000</v>
      </c>
      <c r="C8" s="18">
        <v>307000000</v>
      </c>
      <c r="D8" s="18">
        <v>305000000</v>
      </c>
      <c r="E8" s="18">
        <v>260000000</v>
      </c>
      <c r="F8" s="6" t="s">
        <v>96</v>
      </c>
    </row>
    <row r="9" spans="1:6" x14ac:dyDescent="0.25">
      <c r="A9" t="s">
        <v>97</v>
      </c>
      <c r="B9" s="18">
        <v>67000000</v>
      </c>
      <c r="C9" s="18">
        <v>-93000000</v>
      </c>
      <c r="D9" s="18">
        <v>944000000</v>
      </c>
      <c r="E9" s="18">
        <v>574000000</v>
      </c>
      <c r="F9" s="6" t="s">
        <v>98</v>
      </c>
    </row>
    <row r="10" spans="1:6" x14ac:dyDescent="0.25">
      <c r="A10" t="s">
        <v>99</v>
      </c>
      <c r="B10" s="18">
        <v>9991000000</v>
      </c>
      <c r="C10" s="18">
        <v>5694000000</v>
      </c>
      <c r="D10" s="18">
        <v>4826000000</v>
      </c>
      <c r="E10" s="18">
        <v>3493000000</v>
      </c>
      <c r="F10" s="6" t="s">
        <v>100</v>
      </c>
    </row>
    <row r="11" spans="1:6" x14ac:dyDescent="0.25">
      <c r="A11" t="s">
        <v>101</v>
      </c>
      <c r="B11" s="18">
        <v>1864000000</v>
      </c>
      <c r="C11" s="18">
        <v>1114000000</v>
      </c>
      <c r="D11" s="18">
        <v>1265000000</v>
      </c>
      <c r="E11" s="18">
        <v>1318000000</v>
      </c>
      <c r="F11" s="6" t="s">
        <v>102</v>
      </c>
    </row>
    <row r="12" spans="1:6" x14ac:dyDescent="0.25">
      <c r="A12" t="s">
        <v>34</v>
      </c>
      <c r="B12" s="34">
        <v>300751541</v>
      </c>
      <c r="C12" s="34">
        <v>308033612</v>
      </c>
      <c r="D12" s="34">
        <v>312550942</v>
      </c>
      <c r="E12" s="34">
        <v>327696115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