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<sst xmlns="http://schemas.openxmlformats.org/spreadsheetml/2006/main" count="113" uniqueCount="101">
  <si>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Computacenter plc (CCC.L)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</si>
  <si>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</si>
  <si>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</si>
  <si>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</si>
  <si>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</si>
  <si>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</si>
  <si>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</si>
  <si>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</si>
  <si>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</si>
  <si>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</si>
  <si>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</si>
  <si>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</si>
  <si>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</si>
  <si>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</si>
  <si>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</si>
  <si>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</si>
  <si>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</si>
  <si>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</si>
  <si>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</si>
  <si>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</si>
  <si>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</si>
  <si>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</si>
  <si>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</si>
  <si>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</si>
  <si>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</si>
  <si>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</si>
  <si>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</si>
  <si>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</si>
  <si>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</si>
  <si>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</si>
  <si>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</si>
  <si>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</si>
  <si>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</si>
  <si>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</si>
  <si>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</si>
  <si>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</si>
  <si>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</si>
  <si>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</si>
  <si>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</si>
  <si>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</si>
  <si>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</si>
  <si>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</si>
  <si>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</si>
  <si>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</si>
  <si>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</si>
  <si>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</si>
  <si>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</si>
  <si>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</si>
  <si>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</si>
  <si>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</si>
  <si>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</si>
  <si>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</si>
  <si>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</si>
  <si>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</si>
  <si>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</si>
  <si>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</si>
  <si>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</si>
  <si>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</si>
  <si>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</si>
  <si>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</si>
  <si>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</si>
  <si>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</si>
  <si>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</si>
  <si>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</si>
  <si>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</si>
  <si>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</si>
  <si>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</si>
  <si>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</si>
  <si>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</si>
  <si>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</si>
  <si>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</si>
  <si>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</si>
  <si>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</si>
  <si>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</si>
  <si>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</si>
  <si>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</si>
  <si>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</si>
  <si>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</si>
  <si>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</si>
  <si>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</si>
  <si>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</si>
  <si>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</si>
  <si>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</si>
  <si>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</si>
  <si>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</si>
  <si>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</si>
  <si>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</si>
  <si>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</si>
  <si>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</si>
  <si>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</si>
  <si>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</si>
  <si>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</si>
  <si>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</si>
  <si>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</si>
  <si>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</si>
  <si>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</si>
  <si>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</si>
  <si>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</si>
  <si>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0.47%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</si>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</sst>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0.12422691390590357</v>
      </c>
    </row>
    <row r="7" spans="1:2" x14ac:dyDescent="0.25">
      <c r="A7" t="s">
        <v>5</v>
      </c>
      <c r="B7" s="6">
        <v>0.03499078874158406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0.011726636783503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-0.30046429361043553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14.970217285633163</v>
      </c>
    </row>
    <row r="14" spans="1:3" x14ac:dyDescent="0.25">
      <c r="A14" t="s">
        <v>12</v>
      </c>
      <c r="B14" s="6">
        <v>0.216095894397569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0.9678399999999999</v>
      </c>
      <c r="C19" s="8" t="s">
        <v>19</v>
      </c>
    </row>
    <row r="20" spans="1:2" x14ac:dyDescent="0.25">
      <c r="A20" t="s">
        <v>20</v>
      </c>
      <c r="B20" s="10">
        <f>B17+B19*B18</f>
        <v>0.09823119999999999</v>
      </c>
    </row>
    <row r="21" spans="1:3" x14ac:dyDescent="0.25">
      <c r="A21" t="s">
        <v>21</v>
      </c>
      <c r="B21" s="6">
        <v>0.08313679245283019</v>
      </c>
      <c r="C21" s="8" t="s">
        <v>22</v>
      </c>
    </row>
    <row r="22" spans="1:2" x14ac:dyDescent="0.25">
      <c r="A22" t="s">
        <v>23</v>
      </c>
      <c r="B22" s="11">
        <v>5698710528</v>
      </c>
    </row>
    <row r="23" spans="1:2" x14ac:dyDescent="0.25">
      <c r="A23" t="s">
        <v>24</v>
      </c>
      <c r="B23" s="11">
        <v>202300000</v>
      </c>
    </row>
    <row r="24" spans="1:2" x14ac:dyDescent="0.25">
      <c r="A24" t="s">
        <v>25</v>
      </c>
      <c r="B24" s="10">
        <f>B22/(B22+B23)</f>
        <v>0.9657177361334814</v>
      </c>
    </row>
    <row r="25" spans="1:2" x14ac:dyDescent="0.25">
      <c r="A25" t="s">
        <v>26</v>
      </c>
      <c r="B25" s="10">
        <f>1-B24</f>
        <v>0.03428226386651856</v>
      </c>
    </row>
    <row r="26" spans="1:2" x14ac:dyDescent="0.25">
      <c r="A26" t="s">
        <v>27</v>
      </c>
      <c r="B26" s="12">
        <f>B24*B20+B25*B21*(1-B8)</f>
        <v>0.09700120017358817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9193900000</v>
      </c>
      <c r="C29" s="8" t="s">
        <v>30</v>
      </c>
    </row>
    <row r="30" spans="1:2" x14ac:dyDescent="0.25">
      <c r="A30" t="s">
        <v>31</v>
      </c>
      <c r="B30" s="11">
        <v>-426200000</v>
      </c>
    </row>
    <row r="31" spans="1:2" x14ac:dyDescent="0.25">
      <c r="A31" t="s">
        <v>32</v>
      </c>
      <c r="B31" s="13">
        <v>105600000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0.12422691390590357</v>
      </c>
      <c r="C5" s="10">
        <f>Assumptions!B6</f>
        <v>0.12422691390590357</v>
      </c>
      <c r="D5" s="10">
        <f>Assumptions!B6</f>
        <v>0.12422691390590357</v>
      </c>
      <c r="E5" s="10">
        <f>Assumptions!B6</f>
        <v>0.12422691390590357</v>
      </c>
      <c r="F5" s="10">
        <f>Assumptions!B6</f>
        <v>0.12422691390590357</v>
      </c>
    </row>
    <row r="6" spans="1:6" x14ac:dyDescent="0.25">
      <c r="A6" t="s">
        <v>43</v>
      </c>
      <c r="B6" s="18">
        <f>Assumptions!B29*(1+B5)</f>
        <v>10336029823.759487</v>
      </c>
      <c r="C6" s="18">
        <f>B6*(1+C5)</f>
        <v>11620042910.804508</v>
      </c>
      <c r="D6" s="18">
        <f>C6*(1+D5)</f>
        <v>13063564981.067924</v>
      </c>
      <c r="E6" s="18">
        <f>D6*(1+E5)</f>
        <v>14686411343.275227</v>
      </c>
      <c r="F6" s="18">
        <f>E6*(1+F5)</f>
        <v>16510858900.802963</v>
      </c>
    </row>
    <row r="7" spans="1:6" x14ac:dyDescent="0.25">
      <c r="A7" t="s">
        <v>5</v>
      </c>
      <c r="B7" s="10">
        <f>Assumptions!B7</f>
        <v>0.03499078874158406</v>
      </c>
      <c r="C7" s="10">
        <f>Assumptions!B7</f>
        <v>0.03499078874158406</v>
      </c>
      <c r="D7" s="10">
        <f>Assumptions!B7</f>
        <v>0.03499078874158406</v>
      </c>
      <c r="E7" s="10">
        <f>Assumptions!B7</f>
        <v>0.03499078874158406</v>
      </c>
      <c r="F7" s="10">
        <f>Assumptions!B7</f>
        <v>0.03499078874158406</v>
      </c>
    </row>
    <row r="8" spans="1:6" x14ac:dyDescent="0.25">
      <c r="A8" t="s">
        <v>44</v>
      </c>
      <c r="B8" s="18">
        <f>B6*B7</f>
        <v>361665835.98988056</v>
      </c>
      <c r="C8" s="18">
        <f>C6*C7</f>
        <v>406594466.66010207</v>
      </c>
      <c r="D8" s="18">
        <f>D6*D7</f>
        <v>457104442.4645033</v>
      </c>
      <c r="E8" s="18">
        <f>E6*E7</f>
        <v>513889116.68454725</v>
      </c>
      <c r="F8" s="18">
        <f>F6*F7</f>
        <v>577727975.7400993</v>
      </c>
    </row>
    <row r="9" spans="1:6" x14ac:dyDescent="0.25">
      <c r="A9" t="s">
        <v>45</v>
      </c>
      <c r="B9" s="18">
        <f>B8*(1-Assumptions!B8)</f>
        <v>271249376.9924104</v>
      </c>
      <c r="C9" s="18">
        <f>C8*(1-Assumptions!B8)</f>
        <v>304945849.99507654</v>
      </c>
      <c r="D9" s="18">
        <f>D8*(1-Assumptions!B8)</f>
        <v>342828331.84837747</v>
      </c>
      <c r="E9" s="18">
        <f>E8*(1-Assumptions!B8)</f>
        <v>385416837.51341045</v>
      </c>
      <c r="F9" s="18">
        <f>F8*(1-Assumptions!B8)</f>
        <v>433295981.80507445</v>
      </c>
    </row>
    <row r="10" spans="1:6" x14ac:dyDescent="0.25">
      <c r="A10" t="s">
        <v>46</v>
      </c>
      <c r="B10" s="18">
        <f>B6*Assumptions!B9</f>
        <v>121206867.52668203</v>
      </c>
      <c r="C10" s="18">
        <f>C6*Assumptions!B9</f>
        <v>136264022.62372342</v>
      </c>
      <c r="D10" s="18">
        <f>D6*Assumptions!B9</f>
        <v>153191681.6306728</v>
      </c>
      <c r="E10" s="18">
        <f>E6*Assumptions!B9</f>
        <v>172222211.475707</v>
      </c>
      <c r="F10" s="18">
        <f>F6*Assumptions!B9</f>
        <v>193616845.31338394</v>
      </c>
    </row>
    <row r="11" spans="1:6" x14ac:dyDescent="0.25">
      <c r="A11" t="s">
        <v>47</v>
      </c>
      <c r="B11" s="18">
        <f>-B6*Assumptions!B10</f>
        <v>-103360298.23759487</v>
      </c>
      <c r="C11" s="18">
        <f>-C6*Assumptions!B10</f>
        <v>-116200429.10804509</v>
      </c>
      <c r="D11" s="18">
        <f>-D6*Assumptions!B10</f>
        <v>-130635649.81067924</v>
      </c>
      <c r="E11" s="18">
        <f>-E6*Assumptions!B10</f>
        <v>-146864113.43275228</v>
      </c>
      <c r="F11" s="18">
        <f>-F6*Assumptions!B10</f>
        <v>-165108589.00802964</v>
      </c>
    </row>
    <row r="12" spans="1:6" x14ac:dyDescent="0.25">
      <c r="A12" t="s">
        <v>48</v>
      </c>
      <c r="B12" s="18">
        <f>-(B6-Assumptions!B29)*Assumptions!B11</f>
        <v>343169230.70730555</v>
      </c>
      <c r="C12" s="18">
        <f>-(C6-B6)*Assumptions!B11</f>
        <v>385800085.1855369</v>
      </c>
      <c r="D12" s="18">
        <f>-(D6-C6)*Assumptions!B11</f>
        <v>433726839.1527709</v>
      </c>
      <c r="E12" s="18">
        <f>-(E6-D6)*Assumptions!B11</f>
        <v>487607385.858882</v>
      </c>
      <c r="F12" s="18">
        <f>-(F6-E6)*Assumptions!B11</f>
        <v>548181346.6018559</v>
      </c>
    </row>
    <row r="13" spans="1:6" x14ac:dyDescent="0.25">
      <c r="A13" s="19" t="s">
        <v>49</v>
      </c>
      <c r="B13" s="20">
        <f>B9+B10+B11+B12</f>
        <v>632265176.9888031</v>
      </c>
      <c r="C13" s="20">
        <f>C9+C10+C11+C12</f>
        <v>710809528.6962917</v>
      </c>
      <c r="D13" s="20">
        <f>D9+D10+D11+D12</f>
        <v>799111202.821142</v>
      </c>
      <c r="E13" s="20">
        <f>E9+E10+E11+E12</f>
        <v>898382321.4152472</v>
      </c>
      <c r="F13" s="20">
        <f>F9+F10+F11+F12</f>
        <v>1009985584.7122846</v>
      </c>
    </row>
    <row r="14" spans="1:6" x14ac:dyDescent="0.25">
      <c r="A14" t="s">
        <v>50</v>
      </c>
      <c r="B14" s="21">
        <f>1/(1+Assumptions!$B$26)^(1-0.5*Assumptions!$B$32)</f>
        <v>0.9547649087333058</v>
      </c>
      <c r="C14" s="21">
        <f>1/(1+Assumptions!$B$26)^(2-0.5*Assumptions!$B$32)</f>
        <v>0.8703408059920307</v>
      </c>
      <c r="D14" s="21">
        <f>1/(1+Assumptions!$B$26)^(3-0.5*Assumptions!$B$32)</f>
        <v>0.7933818174987493</v>
      </c>
      <c r="E14" s="21">
        <f>1/(1+Assumptions!$B$26)^(4-0.5*Assumptions!$B$32)</f>
        <v>0.7232278482222311</v>
      </c>
      <c r="F14" s="21">
        <f>1/(1+Assumptions!$B$26)^(5-0.5*Assumptions!$B$32)</f>
        <v>0.6592771713538583</v>
      </c>
    </row>
    <row r="15" spans="1:6" x14ac:dyDescent="0.25">
      <c r="A15" s="19" t="s">
        <v>51</v>
      </c>
      <c r="B15" s="20">
        <f>B13*B14</f>
        <v>603664604.0029621</v>
      </c>
      <c r="C15" s="20">
        <f>C13*C14</f>
        <v>618646538.1123459</v>
      </c>
      <c r="D15" s="20">
        <f>D13*D14</f>
        <v>634000298.4778492</v>
      </c>
      <c r="E15" s="20">
        <f>E13*E14</f>
        <v>649735113.198042</v>
      </c>
      <c r="F15" s="20">
        <f>F13*F14</f>
        <v>665860439.3972876</v>
      </c>
    </row>
    <row r="17" spans="1:2" x14ac:dyDescent="0.25">
      <c r="A17" s="22" t="s">
        <v>52</v>
      </c>
      <c r="B17" s="23">
        <f>SUM(B15:F15)</f>
        <v>3171906993.188487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1009985584.7122846</v>
      </c>
    </row>
    <row r="5" spans="1:2" x14ac:dyDescent="0.25">
      <c r="A5" t="s">
        <v>56</v>
      </c>
      <c r="B5" s="18">
        <f>IF(Assumptions!$B$33=0,B4,B4-Forecast!F11-Forecast!F10-Forecast!F12)</f>
        <v>465914973.3908946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0.11568937979916218</v>
      </c>
    </row>
    <row r="7" spans="1:2" x14ac:dyDescent="0.25">
      <c r="A7" t="s">
        <v>58</v>
      </c>
      <c r="B7" s="18">
        <f>-MAX(Forecast!F9,0)*B6</f>
        <v>-53901414.31073574</v>
      </c>
    </row>
    <row r="8" spans="1:2" x14ac:dyDescent="0.25">
      <c r="A8" t="s">
        <v>59</v>
      </c>
      <c r="B8" s="18">
        <f>IF(OR(Assumptions!$B$33=0,Assumptions!B12&lt;=0),B5,MAX(B5+B7,0))</f>
        <v>412013559.0801588</v>
      </c>
    </row>
    <row r="9" spans="1:2" x14ac:dyDescent="0.25">
      <c r="A9" t="s">
        <v>60</v>
      </c>
      <c r="B9" s="18">
        <f>B8*(1+Assumptions!B12)/(Assumptions!B26-Assumptions!B12)</f>
        <v>5865373035.991115</v>
      </c>
    </row>
    <row r="10" spans="1:2" x14ac:dyDescent="0.25">
      <c r="A10" t="s">
        <v>61</v>
      </c>
      <c r="B10" s="18">
        <f>B9/(1+Assumptions!B26)^(5-0.5*Assumptions!B32)</f>
        <v>3866906544.1034145</v>
      </c>
    </row>
    <row r="11" spans="1:2" x14ac:dyDescent="0.25">
      <c r="A11" t="s">
        <v>62</v>
      </c>
      <c r="B11" s="18">
        <f>Forecast!B17+B10</f>
        <v>7038813537.291902</v>
      </c>
    </row>
    <row r="12" spans="1:2" x14ac:dyDescent="0.25">
      <c r="A12" t="s">
        <v>63</v>
      </c>
      <c r="B12" s="18">
        <f>-Assumptions!B30</f>
        <v>426200000</v>
      </c>
    </row>
    <row r="13" spans="1:2" x14ac:dyDescent="0.25">
      <c r="A13" t="s">
        <v>64</v>
      </c>
      <c r="B13" s="18">
        <f>B11+B12</f>
        <v>7465013537.291902</v>
      </c>
    </row>
    <row r="14" spans="1:2" x14ac:dyDescent="0.25">
      <c r="A14" s="19" t="s">
        <v>65</v>
      </c>
      <c r="B14" s="24">
        <f>B13/Assumptions!B31</f>
        <v>70.69141607283997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771344821.0534832</v>
      </c>
    </row>
    <row r="18" spans="1:2" x14ac:dyDescent="0.25">
      <c r="A18" t="s">
        <v>60</v>
      </c>
      <c r="B18" s="18">
        <f>B17*Assumptions!B13</f>
        <v>11547199573.318474</v>
      </c>
    </row>
    <row r="19" spans="1:2" x14ac:dyDescent="0.25">
      <c r="A19" t="s">
        <v>61</v>
      </c>
      <c r="B19" s="18">
        <f>B18/(1+Assumptions!B26)^(5-0.5*Assumptions!B32)</f>
        <v>7612805071.755883</v>
      </c>
    </row>
    <row r="20" spans="1:2" x14ac:dyDescent="0.25">
      <c r="A20" t="s">
        <v>62</v>
      </c>
      <c r="B20" s="18">
        <f>Forecast!B17+B19</f>
        <v>10784712064.94437</v>
      </c>
    </row>
    <row r="21" spans="1:2" x14ac:dyDescent="0.25">
      <c r="A21" t="s">
        <v>63</v>
      </c>
      <c r="B21" s="18">
        <f>-Assumptions!B30</f>
        <v>426200000</v>
      </c>
    </row>
    <row r="22" spans="1:2" x14ac:dyDescent="0.25">
      <c r="A22" t="s">
        <v>64</v>
      </c>
      <c r="B22" s="18">
        <f>B20+B21</f>
        <v>11210912064.94437</v>
      </c>
    </row>
    <row r="23" spans="1:2" x14ac:dyDescent="0.25">
      <c r="A23" s="19" t="s">
        <v>65</v>
      </c>
      <c r="B23" s="25">
        <f>B22/Assumptions!B31</f>
        <v>106.1639400089429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5430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7069.1416072839975</v>
      </c>
    </row>
    <row r="29" spans="1:2" x14ac:dyDescent="0.25">
      <c r="A29" s="19" t="s">
        <v>73</v>
      </c>
      <c r="B29" s="12">
        <f>B28/B26-1</f>
        <v>0.30186769931565327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0.077001</v>
      </c>
      <c r="B5" s="31">
        <v>83.66467255619293</v>
      </c>
      <c r="C5" s="31">
        <v>86.83691606551764</v>
      </c>
      <c r="D5" s="31">
        <v>90.6051347775673</v>
      </c>
      <c r="E5" s="31">
        <v>95.15952949744981</v>
      </c>
      <c r="F5" s="31">
        <v>100.78087068580874</v>
      </c>
    </row>
    <row r="6" spans="1:6" x14ac:dyDescent="0.25">
      <c r="A6" s="30">
        <v>0.087001</v>
      </c>
      <c r="B6" s="31">
        <v>74.54916420387848</v>
      </c>
      <c r="C6" s="31">
        <v>76.65939506807298</v>
      </c>
      <c r="D6" s="31">
        <v>79.09866843136247</v>
      </c>
      <c r="E6" s="31">
        <v>81.9535729059893</v>
      </c>
      <c r="F6" s="31">
        <v>85.34399977616064</v>
      </c>
    </row>
    <row r="7" spans="1:6" x14ac:dyDescent="0.25">
      <c r="A7" s="30">
        <v>0.097001</v>
      </c>
      <c r="B7" s="31">
        <v>67.5783906018223</v>
      </c>
      <c r="C7" s="31">
        <v>69.03827085147246</v>
      </c>
      <c r="D7" s="32">
        <v>70.6915619172489</v>
      </c>
      <c r="E7" s="31">
        <v>72.5815640818623</v>
      </c>
      <c r="F7" s="31">
        <v>74.76554523587167</v>
      </c>
    </row>
    <row r="8" spans="1:6" x14ac:dyDescent="0.25">
      <c r="A8" s="30">
        <v>0.107001</v>
      </c>
      <c r="B8" s="31">
        <v>62.05722651418379</v>
      </c>
      <c r="C8" s="31">
        <v>63.0966821569171</v>
      </c>
      <c r="D8" s="31">
        <v>64.25501995689316</v>
      </c>
      <c r="E8" s="31">
        <v>65.55539847515202</v>
      </c>
      <c r="F8" s="31">
        <v>67.02740911701079</v>
      </c>
    </row>
    <row r="9" spans="1:6" x14ac:dyDescent="0.25">
      <c r="A9" s="30">
        <v>0.117001</v>
      </c>
      <c r="B9" s="31">
        <v>57.56288118352404</v>
      </c>
      <c r="C9" s="31">
        <v>58.31907255235734</v>
      </c>
      <c r="D9" s="31">
        <v>59.15071350729641</v>
      </c>
      <c r="E9" s="31">
        <v>60.070812448148025</v>
      </c>
      <c r="F9" s="31">
        <v>61.09555051646759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9193900000</v>
      </c>
      <c r="C5" s="18">
        <v>6964800000</v>
      </c>
      <c r="D5" s="18">
        <v>6922800000</v>
      </c>
      <c r="E5" s="18">
        <v>6470500000</v>
      </c>
      <c r="F5" s="8" t="s">
        <v>84</v>
      </c>
    </row>
    <row r="6" spans="1:6" x14ac:dyDescent="0.25">
      <c r="A6" t="s">
        <v>44</v>
      </c>
      <c r="B6" s="18">
        <v>264600000</v>
      </c>
      <c r="C6" s="18">
        <v>236100000</v>
      </c>
      <c r="D6" s="18">
        <v>260700000</v>
      </c>
      <c r="E6" s="18">
        <v>256400000</v>
      </c>
      <c r="F6" s="8" t="s">
        <v>85</v>
      </c>
    </row>
    <row r="7" spans="1:6" x14ac:dyDescent="0.25">
      <c r="A7" t="s">
        <v>86</v>
      </c>
      <c r="B7" s="18">
        <v>87600000</v>
      </c>
      <c r="C7" s="18">
        <v>81300000</v>
      </c>
      <c r="D7" s="18">
        <v>80700000</v>
      </c>
      <c r="E7" s="18">
        <v>90900000</v>
      </c>
      <c r="F7" s="8" t="s">
        <v>87</v>
      </c>
    </row>
    <row r="8" spans="1:6" x14ac:dyDescent="0.25">
      <c r="A8" t="s">
        <v>88</v>
      </c>
      <c r="B8" s="18">
        <v>36000000</v>
      </c>
      <c r="C8" s="18">
        <v>31500000</v>
      </c>
      <c r="D8" s="18">
        <v>35100000</v>
      </c>
      <c r="E8" s="18">
        <v>35500000</v>
      </c>
      <c r="F8" s="8" t="s">
        <v>89</v>
      </c>
    </row>
    <row r="9" spans="1:6" x14ac:dyDescent="0.25">
      <c r="A9" t="s">
        <v>90</v>
      </c>
      <c r="B9" s="18">
        <v>-11200000</v>
      </c>
      <c r="C9" s="18">
        <v>-153300000</v>
      </c>
      <c r="D9" s="18">
        <v>-135900000</v>
      </c>
      <c r="E9" s="18">
        <v>61500000</v>
      </c>
      <c r="F9" s="8" t="s">
        <v>91</v>
      </c>
    </row>
    <row r="10" spans="1:6" x14ac:dyDescent="0.25">
      <c r="A10" t="s">
        <v>92</v>
      </c>
      <c r="B10" s="18">
        <v>202300000</v>
      </c>
      <c r="C10" s="18">
        <v>136900000</v>
      </c>
      <c r="D10" s="18">
        <v>127600000</v>
      </c>
      <c r="E10" s="18">
        <v>147200000</v>
      </c>
      <c r="F10" s="8" t="s">
        <v>93</v>
      </c>
    </row>
    <row r="11" spans="1:6" x14ac:dyDescent="0.25">
      <c r="A11" t="s">
        <v>94</v>
      </c>
      <c r="B11" s="18">
        <v>628500000</v>
      </c>
      <c r="C11" s="18">
        <v>489600000</v>
      </c>
      <c r="D11" s="18">
        <v>471200000</v>
      </c>
      <c r="E11" s="18">
        <v>264400000</v>
      </c>
      <c r="F11" s="8" t="s">
        <v>95</v>
      </c>
    </row>
    <row r="12" spans="1:6" x14ac:dyDescent="0.25">
      <c r="A12" t="s">
        <v>32</v>
      </c>
      <c r="B12" s="34">
        <v>105600000</v>
      </c>
      <c r="C12" s="34">
        <v>111700000</v>
      </c>
      <c r="D12" s="34">
        <v>114100000</v>
      </c>
      <c r="E12" s="34">
        <v>114900000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2026-09-19T01:04:02Z</dcterms:modified>
</cp:coreProperties>
</file>