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<sst xmlns="http://schemas.openxmlformats.org/spreadsheetml/2006/main" count="113" uniqueCount="101">
  <si>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Coca-Cola Europacific Partners PLC (CCEP.L)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</si>
  <si>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</si>
  <si>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</si>
  <si>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</si>
  <si>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</si>
  <si>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</si>
  <si>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</si>
  <si>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</si>
  <si>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</si>
  <si>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</si>
  <si>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</si>
  <si>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</si>
  <si>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</si>
  <si>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</si>
  <si>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</si>
  <si>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</si>
  <si>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</si>
  <si>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</si>
  <si>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</si>
  <si>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</si>
  <si>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</si>
  <si>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</si>
  <si>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</si>
  <si>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</si>
  <si>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</si>
  <si>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</si>
  <si>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</si>
  <si>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</si>
  <si>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</si>
  <si>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</si>
  <si>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</si>
  <si>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</si>
  <si>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</si>
  <si>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</si>
  <si>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</si>
  <si>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</si>
  <si>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</si>
  <si>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</si>
  <si>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</si>
  <si>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</si>
  <si>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</si>
  <si>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</si>
  <si>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</si>
  <si>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</si>
  <si>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</si>
  <si>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</si>
  <si>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</si>
  <si>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</si>
  <si>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</si>
  <si>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</si>
  <si>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</si>
  <si>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</si>
  <si>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</si>
  <si>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</si>
  <si>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</si>
  <si>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</si>
  <si>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</si>
  <si>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</si>
  <si>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</si>
  <si>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</si>
  <si>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</si>
  <si>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</si>
  <si>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</si>
  <si>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</si>
  <si>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</si>
  <si>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</si>
  <si>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</si>
  <si>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</si>
  <si>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</si>
  <si>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</si>
  <si>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EUR to GBp</t>
  </si>
  <si>
    <t>EUR/GBP at 0.8573, then x100, because GBp is a sub-unit of GBP</t>
  </si>
  <si>
    <t>Value per share (GBp)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</si>
  <si>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</si>
  <si>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</si>
  <si>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</si>
  <si>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</si>
  <si>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</si>
  <si>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</si>
  <si>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</si>
  <si>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</si>
  <si>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</si>
  <si>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</si>
  <si>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</si>
  <si>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</si>
  <si>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</si>
  <si>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</si>
  <si>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</si>
  <si>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</si>
  <si>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</si>
  <si>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</si>
  <si>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</si>
  <si>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</si>
  <si>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</si>
  <si>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</si>
  <si>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</si>
  <si>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</si>
  <si>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</si>
  <si>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GBp. Modelled in EUR,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</si>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</sst>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0.06464885785509078</v>
      </c>
    </row>
    <row r="7" spans="1:2" x14ac:dyDescent="0.25">
      <c r="A7" t="s">
        <v>5</v>
      </c>
      <c r="B7" s="6">
        <v>0.12844893426947307</v>
      </c>
    </row>
    <row r="8" spans="1:2" x14ac:dyDescent="0.25">
      <c r="A8" t="s">
        <v>6</v>
      </c>
      <c r="B8" s="6">
        <v>0.2360290392785096</v>
      </c>
    </row>
    <row r="9" spans="1:2" x14ac:dyDescent="0.25">
      <c r="A9" t="s">
        <v>7</v>
      </c>
      <c r="B9" s="6">
        <v>0.045049487225845425</v>
      </c>
    </row>
    <row r="10" spans="1:2" x14ac:dyDescent="0.25">
      <c r="A10" t="s">
        <v>8</v>
      </c>
      <c r="B10" s="6">
        <v>0.04264454479760436</v>
      </c>
    </row>
    <row r="11" spans="1:2" x14ac:dyDescent="0.25">
      <c r="A11" t="s">
        <v>9</v>
      </c>
      <c r="B11" s="6">
        <v>-0.15543071161048688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11.507704574966352</v>
      </c>
    </row>
    <row r="14" spans="1:3" x14ac:dyDescent="0.25">
      <c r="A14" t="s">
        <v>12</v>
      </c>
      <c r="B14" s="6">
        <v>0.09829173235984773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0.64825</v>
      </c>
      <c r="C19" s="8" t="s">
        <v>19</v>
      </c>
    </row>
    <row r="20" spans="1:2" x14ac:dyDescent="0.25">
      <c r="A20" t="s">
        <v>20</v>
      </c>
      <c r="B20" s="10">
        <f>B17+B19*B18</f>
        <v>0.08065375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33014122496</v>
      </c>
    </row>
    <row r="23" spans="1:2" x14ac:dyDescent="0.25">
      <c r="A23" t="s">
        <v>24</v>
      </c>
      <c r="B23" s="11">
        <v>10694000000</v>
      </c>
    </row>
    <row r="24" spans="1:2" x14ac:dyDescent="0.25">
      <c r="A24" t="s">
        <v>25</v>
      </c>
      <c r="B24" s="10">
        <f>B22/(B22+B23)</f>
        <v>0.7553315175919837</v>
      </c>
    </row>
    <row r="25" spans="1:2" x14ac:dyDescent="0.25">
      <c r="A25" t="s">
        <v>26</v>
      </c>
      <c r="B25" s="10">
        <f>1-B24</f>
        <v>0.2446684824080163</v>
      </c>
    </row>
    <row r="26" spans="1:2" x14ac:dyDescent="0.25">
      <c r="A26" t="s">
        <v>27</v>
      </c>
      <c r="B26" s="12">
        <f>B24*B20+B25*B21*(1-B8)</f>
        <v>0.0693317020873429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20901000000</v>
      </c>
      <c r="C29" s="8" t="s">
        <v>30</v>
      </c>
    </row>
    <row r="30" spans="1:2" x14ac:dyDescent="0.25">
      <c r="A30" t="s">
        <v>31</v>
      </c>
      <c r="B30" s="11">
        <v>9737000000</v>
      </c>
    </row>
    <row r="31" spans="1:2" x14ac:dyDescent="0.25">
      <c r="A31" t="s">
        <v>32</v>
      </c>
      <c r="B31" s="13">
        <v>456000000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0.06464885785509078</v>
      </c>
      <c r="C5" s="10">
        <f>Assumptions!B6</f>
        <v>0.06464885785509078</v>
      </c>
      <c r="D5" s="10">
        <f>Assumptions!B6</f>
        <v>0.06464885785509078</v>
      </c>
      <c r="E5" s="10">
        <f>Assumptions!B6</f>
        <v>0.06464885785509078</v>
      </c>
      <c r="F5" s="10">
        <f>Assumptions!B6</f>
        <v>0.06464885785509078</v>
      </c>
    </row>
    <row r="6" spans="1:6" x14ac:dyDescent="0.25">
      <c r="A6" t="s">
        <v>43</v>
      </c>
      <c r="B6" s="18">
        <f>Assumptions!B29*(1+B5)</f>
        <v>22252225778.02925</v>
      </c>
      <c r="C6" s="18">
        <f>B6*(1+C5)</f>
        <v>23690806759.31245</v>
      </c>
      <c r="D6" s="18">
        <f>C6*(1+D5)</f>
        <v>25222390357.967667</v>
      </c>
      <c r="E6" s="18">
        <f>D6*(1+E5)</f>
        <v>26852989086.98553</v>
      </c>
      <c r="F6" s="18">
        <f>E6*(1+F5)</f>
        <v>28589004161.45436</v>
      </c>
    </row>
    <row r="7" spans="1:6" x14ac:dyDescent="0.25">
      <c r="A7" t="s">
        <v>5</v>
      </c>
      <c r="B7" s="10">
        <f>Assumptions!B7</f>
        <v>0.12844893426947307</v>
      </c>
      <c r="C7" s="10">
        <f>Assumptions!B7</f>
        <v>0.12844893426947307</v>
      </c>
      <c r="D7" s="10">
        <f>Assumptions!B7</f>
        <v>0.12844893426947307</v>
      </c>
      <c r="E7" s="10">
        <f>Assumptions!B7</f>
        <v>0.12844893426947307</v>
      </c>
      <c r="F7" s="10">
        <f>Assumptions!B7</f>
        <v>0.12844893426947307</v>
      </c>
    </row>
    <row r="8" spans="1:6" x14ac:dyDescent="0.25">
      <c r="A8" t="s">
        <v>44</v>
      </c>
      <c r="B8" s="18">
        <f>B6*B7</f>
        <v>2858274686.3115535</v>
      </c>
      <c r="C8" s="18">
        <f>C6*C7</f>
        <v>3043058880.2177134</v>
      </c>
      <c r="D8" s="18">
        <f>D6*D7</f>
        <v>3239789161.20958</v>
      </c>
      <c r="E8" s="18">
        <f>E6*E7</f>
        <v>3449237830.173082</v>
      </c>
      <c r="F8" s="18">
        <f>F6*F7</f>
        <v>3672227116.364343</v>
      </c>
    </row>
    <row r="9" spans="1:6" x14ac:dyDescent="0.25">
      <c r="A9" t="s">
        <v>45</v>
      </c>
      <c r="B9" s="18">
        <f>B8*(1-Assumptions!B8)</f>
        <v>2183638858.107354</v>
      </c>
      <c r="C9" s="18">
        <f>C8*(1-Assumptions!B8)</f>
        <v>2324808616.2519894</v>
      </c>
      <c r="D9" s="18">
        <f>D8*(1-Assumptions!B8)</f>
        <v>2475104838.0243545</v>
      </c>
      <c r="E9" s="18">
        <f>E8*(1-Assumptions!B8)</f>
        <v>2635117538.8742385</v>
      </c>
      <c r="F9" s="18">
        <f>F8*(1-Assumptions!B8)</f>
        <v>2805474878.0763755</v>
      </c>
    </row>
    <row r="10" spans="1:6" x14ac:dyDescent="0.25">
      <c r="A10" t="s">
        <v>46</v>
      </c>
      <c r="B10" s="18">
        <f>B6*Assumptions!B9</f>
        <v>1002451360.933957</v>
      </c>
      <c r="C10" s="18">
        <f>C6*Assumptions!B9</f>
        <v>1067258696.4736186</v>
      </c>
      <c r="D10" s="18">
        <f>D6*Assumptions!B9</f>
        <v>1136255752.2365513</v>
      </c>
      <c r="E10" s="18">
        <f>E6*Assumptions!B9</f>
        <v>1209713388.8499212</v>
      </c>
      <c r="F10" s="18">
        <f>F6*Assumptions!B9</f>
        <v>1287919977.77108</v>
      </c>
    </row>
    <row r="11" spans="1:6" x14ac:dyDescent="0.25">
      <c r="A11" t="s">
        <v>47</v>
      </c>
      <c r="B11" s="18">
        <f>-B6*Assumptions!B10</f>
        <v>-948936039.0375749</v>
      </c>
      <c r="C11" s="18">
        <f>-C6*Assumptions!B10</f>
        <v>-1010283670.1388879</v>
      </c>
      <c r="D11" s="18">
        <f>-D6*Assumptions!B10</f>
        <v>-1075597355.5230165</v>
      </c>
      <c r="E11" s="18">
        <f>-E6*Assumptions!B10</f>
        <v>-1145133496.0695355</v>
      </c>
      <c r="F11" s="18">
        <f>-F6*Assumptions!B10</f>
        <v>-1219165068.6820378</v>
      </c>
    </row>
    <row r="12" spans="1:6" x14ac:dyDescent="0.25">
      <c r="A12" t="s">
        <v>48</v>
      </c>
      <c r="B12" s="18">
        <f>-(B6-Assumptions!B29)*Assumptions!B11</f>
        <v>210021984.22552028</v>
      </c>
      <c r="C12" s="18">
        <f>-(C6-B6)*Assumptions!B11</f>
        <v>223599665.63016018</v>
      </c>
      <c r="D12" s="18">
        <f>-(D6-C6)*Assumptions!B11</f>
        <v>238055128.6299306</v>
      </c>
      <c r="E12" s="18">
        <f>-(E6-D6)*Assumptions!B11</f>
        <v>253445120.8024021</v>
      </c>
      <c r="F12" s="18">
        <f>-(F6-E6)*Assumptions!B11</f>
        <v>269830058.39122266</v>
      </c>
    </row>
    <row r="13" spans="1:6" x14ac:dyDescent="0.25">
      <c r="A13" s="19" t="s">
        <v>49</v>
      </c>
      <c r="B13" s="20">
        <f>B9+B10+B11+B12</f>
        <v>2447176164.2292566</v>
      </c>
      <c r="C13" s="20">
        <f>C9+C10+C11+C12</f>
        <v>2605383308.2168803</v>
      </c>
      <c r="D13" s="20">
        <f>D9+D10+D11+D12</f>
        <v>2773818363.36782</v>
      </c>
      <c r="E13" s="20">
        <f>E9+E10+E11+E12</f>
        <v>2953142552.457026</v>
      </c>
      <c r="F13" s="20">
        <f>F9+F10+F11+F12</f>
        <v>3144059845.55664</v>
      </c>
    </row>
    <row r="14" spans="1:6" x14ac:dyDescent="0.25">
      <c r="A14" t="s">
        <v>50</v>
      </c>
      <c r="B14" s="21">
        <f>1/(1+Assumptions!$B$26)^(1-0.5*Assumptions!$B$32)</f>
        <v>0.9670385314638689</v>
      </c>
      <c r="C14" s="21">
        <f>1/(1+Assumptions!$B$26)^(2-0.5*Assumptions!$B$32)</f>
        <v>0.9043391583511484</v>
      </c>
      <c r="D14" s="21">
        <f>1/(1+Assumptions!$B$26)^(3-0.5*Assumptions!$B$32)</f>
        <v>0.8457049918055102</v>
      </c>
      <c r="E14" s="21">
        <f>1/(1+Assumptions!$B$26)^(4-0.5*Assumptions!$B$32)</f>
        <v>0.7908724581481013</v>
      </c>
      <c r="F14" s="21">
        <f>1/(1+Assumptions!$B$26)^(5-0.5*Assumptions!$B$32)</f>
        <v>0.7395950728892754</v>
      </c>
    </row>
    <row r="15" spans="1:6" x14ac:dyDescent="0.25">
      <c r="A15" s="19" t="s">
        <v>51</v>
      </c>
      <c r="B15" s="20">
        <f>B13*B14</f>
        <v>2366513644.089644</v>
      </c>
      <c r="C15" s="20">
        <f>C13*C14</f>
        <v>2356150148.1349845</v>
      </c>
      <c r="D15" s="20">
        <f>D13*D14</f>
        <v>2345832036.2619557</v>
      </c>
      <c r="E15" s="20">
        <f>E13*E14</f>
        <v>2335559109.7234464</v>
      </c>
      <c r="F15" s="20">
        <f>F13*F14</f>
        <v>2325331170.6427073</v>
      </c>
    </row>
    <row r="17" spans="1:2" x14ac:dyDescent="0.25">
      <c r="A17" s="22" t="s">
        <v>52</v>
      </c>
      <c r="B17" s="23">
        <f>SUM(B15:F15)</f>
        <v>11729386108.852737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3144059845.55664</v>
      </c>
    </row>
    <row r="5" spans="1:2" x14ac:dyDescent="0.25">
      <c r="A5" t="s">
        <v>56</v>
      </c>
      <c r="B5" s="18">
        <f>IF(Assumptions!$B$33=0,B4,B4-Forecast!F11-Forecast!F10-Forecast!F12)</f>
        <v>2967119007.4776835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0.25434489147545564</v>
      </c>
    </row>
    <row r="7" spans="1:2" x14ac:dyDescent="0.25">
      <c r="A7" t="s">
        <v>58</v>
      </c>
      <c r="B7" s="18">
        <f>-MAX(Forecast!F9,0)*B6</f>
        <v>-754671561.951673</v>
      </c>
    </row>
    <row r="8" spans="1:2" x14ac:dyDescent="0.25">
      <c r="A8" t="s">
        <v>59</v>
      </c>
      <c r="B8" s="18">
        <f>IF(OR(Assumptions!$B$33=0,Assumptions!B12&lt;=0),B5,MAX(B5+B7,0))</f>
        <v>2212447445.5260105</v>
      </c>
    </row>
    <row r="9" spans="1:2" x14ac:dyDescent="0.25">
      <c r="A9" t="s">
        <v>60</v>
      </c>
      <c r="B9" s="18">
        <f>B8*(1+Assumptions!B12)/(Assumptions!B26-Assumptions!B12)</f>
        <v>51154332563.098816</v>
      </c>
    </row>
    <row r="10" spans="1:2" x14ac:dyDescent="0.25">
      <c r="A10" t="s">
        <v>61</v>
      </c>
      <c r="B10" s="18">
        <f>B9/(1+Assumptions!B26)^(5-0.5*Assumptions!B32)</f>
        <v>37833492320.6073</v>
      </c>
    </row>
    <row r="11" spans="1:2" x14ac:dyDescent="0.25">
      <c r="A11" t="s">
        <v>62</v>
      </c>
      <c r="B11" s="18">
        <f>Forecast!B17+B10</f>
        <v>49562878429.46004</v>
      </c>
    </row>
    <row r="12" spans="1:2" x14ac:dyDescent="0.25">
      <c r="A12" t="s">
        <v>63</v>
      </c>
      <c r="B12" s="18">
        <f>-Assumptions!B30</f>
        <v>-9737000000</v>
      </c>
    </row>
    <row r="13" spans="1:2" x14ac:dyDescent="0.25">
      <c r="A13" t="s">
        <v>64</v>
      </c>
      <c r="B13" s="18">
        <f>B11+B12</f>
        <v>39825878429.46004</v>
      </c>
    </row>
    <row r="14" spans="1:2" x14ac:dyDescent="0.25">
      <c r="A14" s="19" t="s">
        <v>65</v>
      </c>
      <c r="B14" s="24">
        <f>B13/Assumptions!B31</f>
        <v>87.33745269618429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4960147094.135424</v>
      </c>
    </row>
    <row r="18" spans="1:2" x14ac:dyDescent="0.25">
      <c r="A18" t="s">
        <v>60</v>
      </c>
      <c r="B18" s="18">
        <f>B17*Assumptions!B13</f>
        <v>57079907407.68827</v>
      </c>
    </row>
    <row r="19" spans="1:2" x14ac:dyDescent="0.25">
      <c r="A19" t="s">
        <v>61</v>
      </c>
      <c r="B19" s="18">
        <f>B18/(1+Assumptions!B26)^(5-0.5*Assumptions!B32)</f>
        <v>42216018279.70229</v>
      </c>
    </row>
    <row r="20" spans="1:2" x14ac:dyDescent="0.25">
      <c r="A20" t="s">
        <v>62</v>
      </c>
      <c r="B20" s="18">
        <f>Forecast!B17+B19</f>
        <v>53945404388.55503</v>
      </c>
    </row>
    <row r="21" spans="1:2" x14ac:dyDescent="0.25">
      <c r="A21" t="s">
        <v>63</v>
      </c>
      <c r="B21" s="18">
        <f>-Assumptions!B30</f>
        <v>-9737000000</v>
      </c>
    </row>
    <row r="22" spans="1:2" x14ac:dyDescent="0.25">
      <c r="A22" t="s">
        <v>64</v>
      </c>
      <c r="B22" s="18">
        <f>B20+B21</f>
        <v>44208404388.55503</v>
      </c>
    </row>
    <row r="23" spans="1:2" x14ac:dyDescent="0.25">
      <c r="A23" s="19" t="s">
        <v>65</v>
      </c>
      <c r="B23" s="25">
        <f>B22/Assumptions!B31</f>
        <v>96.94825523805928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7495</v>
      </c>
    </row>
    <row r="27" spans="1:3" x14ac:dyDescent="0.25">
      <c r="A27" t="s">
        <v>70</v>
      </c>
      <c r="B27" s="27">
        <v>85.731</v>
      </c>
      <c r="C27" s="8" t="s">
        <v>71</v>
      </c>
    </row>
    <row r="28" spans="1:2" x14ac:dyDescent="0.25">
      <c r="A28" t="s">
        <v>72</v>
      </c>
      <c r="B28" s="28">
        <f>B14*B27</f>
        <v>7487.527157096574</v>
      </c>
    </row>
    <row r="29" spans="1:2" x14ac:dyDescent="0.25">
      <c r="A29" s="19" t="s">
        <v>73</v>
      </c>
      <c r="B29" s="12">
        <f>B28/B26-1</f>
        <v>-0.000997043749623172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0.049332</v>
      </c>
      <c r="B5" s="31">
        <v>136.87201205398947</v>
      </c>
      <c r="C5" s="31">
        <v>150.7349934157773</v>
      </c>
      <c r="D5" s="31">
        <v>170.18587155561346</v>
      </c>
      <c r="E5" s="31">
        <v>199.5603826451682</v>
      </c>
      <c r="F5" s="31">
        <v>249.24469011214012</v>
      </c>
    </row>
    <row r="6" spans="1:6" x14ac:dyDescent="0.25">
      <c r="A6" s="30">
        <v>0.059332</v>
      </c>
      <c r="B6" s="31">
        <v>102.3808329478538</v>
      </c>
      <c r="C6" s="31">
        <v>108.68075053709659</v>
      </c>
      <c r="D6" s="31">
        <v>116.74128282561207</v>
      </c>
      <c r="E6" s="31">
        <v>127.46278507349467</v>
      </c>
      <c r="F6" s="31">
        <v>142.48567111398904</v>
      </c>
    </row>
    <row r="7" spans="1:6" x14ac:dyDescent="0.25">
      <c r="A7" s="30">
        <v>0.069332</v>
      </c>
      <c r="B7" s="31">
        <v>80.5523855047073</v>
      </c>
      <c r="C7" s="31">
        <v>83.62557844301942</v>
      </c>
      <c r="D7" s="32">
        <v>87.33677327911602</v>
      </c>
      <c r="E7" s="31">
        <v>91.92928406940837</v>
      </c>
      <c r="F7" s="31">
        <v>97.78816671838608</v>
      </c>
    </row>
    <row r="8" spans="1:6" x14ac:dyDescent="0.25">
      <c r="A8" s="30">
        <v>0.079332</v>
      </c>
      <c r="B8" s="31">
        <v>65.48340089643027</v>
      </c>
      <c r="C8" s="31">
        <v>66.9767873484064</v>
      </c>
      <c r="D8" s="31">
        <v>68.70182839629467</v>
      </c>
      <c r="E8" s="31">
        <v>70.72896146283657</v>
      </c>
      <c r="F8" s="31">
        <v>73.1604012074159</v>
      </c>
    </row>
    <row r="9" spans="1:6" x14ac:dyDescent="0.25">
      <c r="A9" s="30">
        <v>0.089332</v>
      </c>
      <c r="B9" s="31">
        <v>54.44720696582644</v>
      </c>
      <c r="C9" s="31">
        <v>55.09895253984418</v>
      </c>
      <c r="D9" s="31">
        <v>55.81699920250461</v>
      </c>
      <c r="E9" s="31">
        <v>56.618108841653154</v>
      </c>
      <c r="F9" s="31">
        <v>57.525213516616155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20901000000</v>
      </c>
      <c r="C5" s="18">
        <v>20438000000</v>
      </c>
      <c r="D5" s="18">
        <v>18302000000</v>
      </c>
      <c r="E5" s="18">
        <v>17320000000</v>
      </c>
      <c r="F5" s="8" t="s">
        <v>84</v>
      </c>
    </row>
    <row r="6" spans="1:6" x14ac:dyDescent="0.25">
      <c r="A6" t="s">
        <v>44</v>
      </c>
      <c r="B6" s="18">
        <v>2792000000</v>
      </c>
      <c r="C6" s="18">
        <v>2535000000</v>
      </c>
      <c r="D6" s="18">
        <v>2329000000</v>
      </c>
      <c r="E6" s="18">
        <v>2233000000</v>
      </c>
      <c r="F6" s="8" t="s">
        <v>85</v>
      </c>
    </row>
    <row r="7" spans="1:6" x14ac:dyDescent="0.25">
      <c r="A7" t="s">
        <v>86</v>
      </c>
      <c r="B7" s="18">
        <v>923000000</v>
      </c>
      <c r="C7" s="18">
        <v>933000000</v>
      </c>
      <c r="D7" s="18">
        <v>792000000</v>
      </c>
      <c r="E7" s="18">
        <v>816000000</v>
      </c>
      <c r="F7" s="8" t="s">
        <v>87</v>
      </c>
    </row>
    <row r="8" spans="1:6" x14ac:dyDescent="0.25">
      <c r="A8" t="s">
        <v>88</v>
      </c>
      <c r="B8" s="18">
        <v>950000000</v>
      </c>
      <c r="C8" s="18">
        <v>939000000</v>
      </c>
      <c r="D8" s="18">
        <v>812000000</v>
      </c>
      <c r="E8" s="18">
        <v>603000000</v>
      </c>
      <c r="F8" s="8" t="s">
        <v>89</v>
      </c>
    </row>
    <row r="9" spans="1:6" x14ac:dyDescent="0.25">
      <c r="A9" t="s">
        <v>90</v>
      </c>
      <c r="B9" s="18">
        <v>172000000</v>
      </c>
      <c r="C9" s="18">
        <v>-332000000</v>
      </c>
      <c r="D9" s="18">
        <v>-232000000</v>
      </c>
      <c r="E9" s="18">
        <v>-427000000</v>
      </c>
      <c r="F9" s="8" t="s">
        <v>91</v>
      </c>
    </row>
    <row r="10" spans="1:6" x14ac:dyDescent="0.25">
      <c r="A10" t="s">
        <v>92</v>
      </c>
      <c r="B10" s="18">
        <v>10694000000</v>
      </c>
      <c r="C10" s="18">
        <v>11331000000</v>
      </c>
      <c r="D10" s="18">
        <v>11396000000</v>
      </c>
      <c r="E10" s="18">
        <v>11907000000</v>
      </c>
      <c r="F10" s="8" t="s">
        <v>93</v>
      </c>
    </row>
    <row r="11" spans="1:6" x14ac:dyDescent="0.25">
      <c r="A11" t="s">
        <v>94</v>
      </c>
      <c r="B11" s="18">
        <v>957000000</v>
      </c>
      <c r="C11" s="18">
        <v>1713000000</v>
      </c>
      <c r="D11" s="18">
        <v>1987000000</v>
      </c>
      <c r="E11" s="18">
        <v>1643000000</v>
      </c>
      <c r="F11" s="8" t="s">
        <v>95</v>
      </c>
    </row>
    <row r="12" spans="1:6" x14ac:dyDescent="0.25">
      <c r="A12" t="s">
        <v>32</v>
      </c>
      <c r="B12" s="34">
        <v>456000000</v>
      </c>
      <c r="C12" s="34">
        <v>461000000</v>
      </c>
      <c r="D12" s="34">
        <v>459779614</v>
      </c>
      <c r="E12" s="34">
        <v>458358663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