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<sst xmlns="http://schemas.openxmlformats.org/spreadsheetml/2006/main" count="114" uniqueCount="102">
  <si>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Coca-Cola HBC AG (CCH.L)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</si>
  <si>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</si>
  <si>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</si>
  <si>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</si>
  <si>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</si>
  <si>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</si>
  <si>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</si>
  <si>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</si>
  <si>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</si>
  <si>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</si>
  <si>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</si>
  <si>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</si>
  <si>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</si>
  <si>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</si>
  <si>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</si>
  <si>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</si>
  <si>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</si>
  <si>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</si>
  <si>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</si>
  <si>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</si>
  <si>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</si>
  <si>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</si>
  <si>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</si>
  <si>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</si>
  <si>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</si>
  <si>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</si>
  <si>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</si>
  <si>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</si>
  <si>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</si>
  <si>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</si>
  <si>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</si>
  <si>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</si>
  <si>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</si>
  <si>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</si>
  <si>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</si>
  <si>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</si>
  <si>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</si>
  <si>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</si>
  <si>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</si>
  <si>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</si>
  <si>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</si>
  <si>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</si>
  <si>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</si>
  <si>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</si>
  <si>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</si>
  <si>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</si>
  <si>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</si>
  <si>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</si>
  <si>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</si>
  <si>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</si>
  <si>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</si>
  <si>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</si>
  <si>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</si>
  <si>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</si>
  <si>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</si>
  <si>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</si>
  <si>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</si>
  <si>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</si>
  <si>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</si>
  <si>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</si>
  <si>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</si>
  <si>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</si>
  <si>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</si>
  <si>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</si>
  <si>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</si>
  <si>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</si>
  <si>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</si>
  <si>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</si>
  <si>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</si>
  <si>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</si>
  <si>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EUR to GBp</t>
  </si>
  <si>
    <t>EUR/GBP at 0.8573, then x100, because GBp is a sub-unit of GBP</t>
  </si>
  <si>
    <t>Value per share (GBp)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</si>
  <si>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</si>
  <si>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</si>
  <si>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</si>
  <si>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</si>
  <si>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</si>
  <si>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</si>
  <si>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</si>
  <si>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</si>
  <si>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</si>
  <si>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</si>
  <si>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</si>
  <si>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</si>
  <si>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</si>
  <si>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</si>
  <si>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</si>
  <si>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</si>
  <si>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</si>
  <si>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</si>
  <si>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</si>
  <si>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</si>
  <si>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</si>
  <si>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</si>
  <si>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</si>
  <si>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</si>
  <si>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</si>
  <si>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GBp. Modelled in EUR, converted at the end.</t>
  </si>
  <si>
    <t>Adjusted: Capital expenditure runs at 6.0% of revenue against depreciation of 3.8%.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</si>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</sst>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0.0805330303596703</v>
      </c>
    </row>
    <row r="7" spans="1:2" x14ac:dyDescent="0.25">
      <c r="A7" t="s">
        <v>5</v>
      </c>
      <c r="B7" s="6">
        <v>0.10377942141494184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0.038385182938522486</v>
      </c>
    </row>
    <row r="10" spans="1:2" x14ac:dyDescent="0.25">
      <c r="A10" t="s">
        <v>8</v>
      </c>
      <c r="B10" s="6">
        <v>0.0597362639991272</v>
      </c>
    </row>
    <row r="11" spans="1:2" x14ac:dyDescent="0.25">
      <c r="A11" t="s">
        <v>9</v>
      </c>
      <c r="B11" s="6">
        <v>-0.13768262987012986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9.425039031783735</v>
      </c>
    </row>
    <row r="14" spans="1:3" x14ac:dyDescent="0.25">
      <c r="A14" t="s">
        <v>12</v>
      </c>
      <c r="B14" s="6">
        <v>0.12069940583324995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0.68912</v>
      </c>
      <c r="C19" s="8" t="s">
        <v>19</v>
      </c>
    </row>
    <row r="20" spans="1:2" x14ac:dyDescent="0.25">
      <c r="A20" t="s">
        <v>20</v>
      </c>
      <c r="B20" s="10">
        <f>B17+B19*B18</f>
        <v>0.08290159999999999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15482454016</v>
      </c>
    </row>
    <row r="23" spans="1:2" x14ac:dyDescent="0.25">
      <c r="A23" t="s">
        <v>24</v>
      </c>
      <c r="B23" s="11">
        <v>3913000000</v>
      </c>
    </row>
    <row r="24" spans="1:2" x14ac:dyDescent="0.25">
      <c r="A24" t="s">
        <v>25</v>
      </c>
      <c r="B24" s="10">
        <f>B22/(B22+B23)</f>
        <v>0.7982516935787104</v>
      </c>
    </row>
    <row r="25" spans="1:2" x14ac:dyDescent="0.25">
      <c r="A25" t="s">
        <v>26</v>
      </c>
      <c r="B25" s="10">
        <f>1-B24</f>
        <v>0.2017483064212896</v>
      </c>
    </row>
    <row r="26" spans="1:2" x14ac:dyDescent="0.25">
      <c r="A26" t="s">
        <v>27</v>
      </c>
      <c r="B26" s="12">
        <f>B24*B20+B25*B21*(1-B8)</f>
        <v>0.07298534794210333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11604500000</v>
      </c>
      <c r="C29" s="8" t="s">
        <v>30</v>
      </c>
    </row>
    <row r="30" spans="1:2" x14ac:dyDescent="0.25">
      <c r="A30" t="s">
        <v>31</v>
      </c>
      <c r="B30" s="11">
        <v>1182900000</v>
      </c>
    </row>
    <row r="31" spans="1:2" x14ac:dyDescent="0.25">
      <c r="A31" t="s">
        <v>32</v>
      </c>
      <c r="B31" s="13">
        <v>363300000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0.0805330303596703</v>
      </c>
      <c r="C5" s="10">
        <f>Assumptions!B6</f>
        <v>0.0805330303596703</v>
      </c>
      <c r="D5" s="10">
        <f>Assumptions!B6</f>
        <v>0.0805330303596703</v>
      </c>
      <c r="E5" s="10">
        <f>Assumptions!B6</f>
        <v>0.0805330303596703</v>
      </c>
      <c r="F5" s="10">
        <f>Assumptions!B6</f>
        <v>0.0805330303596703</v>
      </c>
    </row>
    <row r="6" spans="1:6" x14ac:dyDescent="0.25">
      <c r="A6" t="s">
        <v>43</v>
      </c>
      <c r="B6" s="18">
        <f>Assumptions!B29*(1+B5)</f>
        <v>12539045550.808794</v>
      </c>
      <c r="C6" s="18">
        <f>B6*(1+C5)</f>
        <v>13548852886.833368</v>
      </c>
      <c r="D6" s="18">
        <f>C6*(1+D5)</f>
        <v>14639983067.707426</v>
      </c>
      <c r="E6" s="18">
        <f>D6*(1+E5)</f>
        <v>15818985268.564167</v>
      </c>
      <c r="F6" s="18">
        <f>E6*(1+F5)</f>
        <v>17092936089.456623</v>
      </c>
    </row>
    <row r="7" spans="1:6" x14ac:dyDescent="0.25">
      <c r="A7" t="s">
        <v>5</v>
      </c>
      <c r="B7" s="10">
        <f>Assumptions!B7</f>
        <v>0.10377942141494184</v>
      </c>
      <c r="C7" s="10">
        <f>Assumptions!B7</f>
        <v>0.10377942141494184</v>
      </c>
      <c r="D7" s="10">
        <f>Assumptions!B7</f>
        <v>0.10377942141494184</v>
      </c>
      <c r="E7" s="10">
        <f>Assumptions!B7</f>
        <v>0.10377942141494184</v>
      </c>
      <c r="F7" s="10">
        <f>Assumptions!B7</f>
        <v>0.10377942141494184</v>
      </c>
    </row>
    <row r="8" spans="1:6" x14ac:dyDescent="0.25">
      <c r="A8" t="s">
        <v>44</v>
      </c>
      <c r="B8" s="18">
        <f>B6*B7</f>
        <v>1301294892.3585374</v>
      </c>
      <c r="C8" s="18">
        <f>C6*C7</f>
        <v>1406092113.4317315</v>
      </c>
      <c r="D8" s="18">
        <f>D6*D7</f>
        <v>1519328972.291222</v>
      </c>
      <c r="E8" s="18">
        <f>E6*E7</f>
        <v>1641685138.5430777</v>
      </c>
      <c r="F8" s="18">
        <f>F6*F7</f>
        <v>1773895017.6463869</v>
      </c>
    </row>
    <row r="9" spans="1:6" x14ac:dyDescent="0.25">
      <c r="A9" t="s">
        <v>45</v>
      </c>
      <c r="B9" s="18">
        <f>B8*(1-Assumptions!B8)</f>
        <v>975971169.268903</v>
      </c>
      <c r="C9" s="18">
        <f>C8*(1-Assumptions!B8)</f>
        <v>1054569085.0737987</v>
      </c>
      <c r="D9" s="18">
        <f>D8*(1-Assumptions!B8)</f>
        <v>1139496729.2184167</v>
      </c>
      <c r="E9" s="18">
        <f>E8*(1-Assumptions!B8)</f>
        <v>1231263853.9073083</v>
      </c>
      <c r="F9" s="18">
        <f>F8*(1-Assumptions!B8)</f>
        <v>1330421263.23479</v>
      </c>
    </row>
    <row r="10" spans="1:6" x14ac:dyDescent="0.25">
      <c r="A10" t="s">
        <v>46</v>
      </c>
      <c r="B10" s="18">
        <f>B6*Assumptions!B9</f>
        <v>481313557.342262</v>
      </c>
      <c r="C10" s="18">
        <f>C6*Assumptions!B9</f>
        <v>520075196.6682273</v>
      </c>
      <c r="D10" s="18">
        <f>D6*Assumptions!B9</f>
        <v>561958428.2708212</v>
      </c>
      <c r="E10" s="18">
        <f>E6*Assumptions!B9</f>
        <v>607214643.4356278</v>
      </c>
      <c r="F10" s="18">
        <f>F6*Assumptions!B9</f>
        <v>656115478.7502656</v>
      </c>
    </row>
    <row r="11" spans="1:6" x14ac:dyDescent="0.25">
      <c r="A11" t="s">
        <v>47</v>
      </c>
      <c r="B11" s="18">
        <f>-B6*Assumptions!B10</f>
        <v>-749035735.3201954</v>
      </c>
      <c r="C11" s="18">
        <f>-C6*Assumptions!B10</f>
        <v>-809357852.9332148</v>
      </c>
      <c r="D11" s="18">
        <f>-D6*Assumptions!B10</f>
        <v>-874537893.475323</v>
      </c>
      <c r="E11" s="18">
        <f>-E6*Assumptions!B10</f>
        <v>-944967080.2012532</v>
      </c>
      <c r="F11" s="18">
        <f>-F6*Assumptions!B10</f>
        <v>-1021068142.7599897</v>
      </c>
    </row>
    <row r="12" spans="1:6" x14ac:dyDescent="0.25">
      <c r="A12" t="s">
        <v>48</v>
      </c>
      <c r="B12" s="18">
        <f>-(B6-Assumptions!B29)*Assumptions!B11</f>
        <v>128670689.16878383</v>
      </c>
      <c r="C12" s="18">
        <f>-(C6-B6)*Assumptions!B11</f>
        <v>139032929.6860133</v>
      </c>
      <c r="D12" s="18">
        <f>-(D6-C6)*Assumptions!B11</f>
        <v>150229672.83341074</v>
      </c>
      <c r="E12" s="18">
        <f>-(E6-D6)*Assumptions!B11</f>
        <v>162328123.63662717</v>
      </c>
      <c r="F12" s="18">
        <f>-(F6-E6)*Assumptions!B11</f>
        <v>175400899.3456841</v>
      </c>
    </row>
    <row r="13" spans="1:6" x14ac:dyDescent="0.25">
      <c r="A13" s="19" t="s">
        <v>49</v>
      </c>
      <c r="B13" s="20">
        <f>B9+B10+B11+B12</f>
        <v>836919680.4597534</v>
      </c>
      <c r="C13" s="20">
        <f>C9+C10+C11+C12</f>
        <v>904319358.4948244</v>
      </c>
      <c r="D13" s="20">
        <f>D9+D10+D11+D12</f>
        <v>977146936.8473256</v>
      </c>
      <c r="E13" s="20">
        <f>E9+E10+E11+E12</f>
        <v>1055839540.7783101</v>
      </c>
      <c r="F13" s="20">
        <f>F9+F10+F11+F12</f>
        <v>1140869498.57075</v>
      </c>
    </row>
    <row r="14" spans="1:6" x14ac:dyDescent="0.25">
      <c r="A14" t="s">
        <v>50</v>
      </c>
      <c r="B14" s="21">
        <f>1/(1+Assumptions!$B$26)^(1-0.5*Assumptions!$B$32)</f>
        <v>0.9653906854711437</v>
      </c>
      <c r="C14" s="21">
        <f>1/(1+Assumptions!$B$26)^(2-0.5*Assumptions!$B$32)</f>
        <v>0.8997240151719523</v>
      </c>
      <c r="D14" s="21">
        <f>1/(1+Assumptions!$B$26)^(3-0.5*Assumptions!$B$32)</f>
        <v>0.8385240459224799</v>
      </c>
      <c r="E14" s="21">
        <f>1/(1+Assumptions!$B$26)^(4-0.5*Assumptions!$B$32)</f>
        <v>0.7814869490349512</v>
      </c>
      <c r="F14" s="21">
        <f>1/(1+Assumptions!$B$26)^(5-0.5*Assumptions!$B$32)</f>
        <v>0.7283295624994116</v>
      </c>
    </row>
    <row r="15" spans="1:6" x14ac:dyDescent="0.25">
      <c r="A15" s="19" t="s">
        <v>51</v>
      </c>
      <c r="B15" s="20">
        <f>B13*B14</f>
        <v>807954464.0033319</v>
      </c>
      <c r="C15" s="20">
        <f>C13*C14</f>
        <v>813637844.2226876</v>
      </c>
      <c r="D15" s="20">
        <f>D13*D14</f>
        <v>819361202.9459773</v>
      </c>
      <c r="E15" s="20">
        <f>E13*E14</f>
        <v>825124821.3933054</v>
      </c>
      <c r="F15" s="20">
        <f>F13*F14</f>
        <v>830928982.7629575</v>
      </c>
    </row>
    <row r="17" spans="1:2" x14ac:dyDescent="0.25">
      <c r="A17" s="22" t="s">
        <v>52</v>
      </c>
      <c r="B17" s="23">
        <f>SUM(B15:F15)</f>
        <v>4097007315.3282595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1140869498.57075</v>
      </c>
    </row>
    <row r="5" spans="1:2" x14ac:dyDescent="0.25">
      <c r="A5" t="s">
        <v>56</v>
      </c>
      <c r="B5" s="18">
        <f>IF(Assumptions!$B$33=0,B4,B4-Forecast!F11-Forecast!F10-Forecast!F12)</f>
        <v>1332091717.9813755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0.20712612317693008</v>
      </c>
    </row>
    <row r="7" spans="1:2" x14ac:dyDescent="0.25">
      <c r="A7" t="s">
        <v>58</v>
      </c>
      <c r="B7" s="18">
        <f>-MAX(Forecast!F9,0)*B6</f>
        <v>-275910993.2615788</v>
      </c>
    </row>
    <row r="8" spans="1:2" x14ac:dyDescent="0.25">
      <c r="A8" t="s">
        <v>59</v>
      </c>
      <c r="B8" s="18">
        <f>IF(OR(Assumptions!$B$33=0,Assumptions!B12&lt;=0),B5,MAX(B5+B7,0))</f>
        <v>1056180724.7197967</v>
      </c>
    </row>
    <row r="9" spans="1:2" x14ac:dyDescent="0.25">
      <c r="A9" t="s">
        <v>60</v>
      </c>
      <c r="B9" s="18">
        <f>B8*(1+Assumptions!B12)/(Assumptions!B26-Assumptions!B12)</f>
        <v>22560745920.691948</v>
      </c>
    </row>
    <row r="10" spans="1:2" x14ac:dyDescent="0.25">
      <c r="A10" t="s">
        <v>61</v>
      </c>
      <c r="B10" s="18">
        <f>B9/(1+Assumptions!B26)^(5-0.5*Assumptions!B32)</f>
        <v>16431658206.077951</v>
      </c>
    </row>
    <row r="11" spans="1:2" x14ac:dyDescent="0.25">
      <c r="A11" t="s">
        <v>62</v>
      </c>
      <c r="B11" s="18">
        <f>Forecast!B17+B10</f>
        <v>20528665521.40621</v>
      </c>
    </row>
    <row r="12" spans="1:2" x14ac:dyDescent="0.25">
      <c r="A12" t="s">
        <v>63</v>
      </c>
      <c r="B12" s="18">
        <f>-Assumptions!B30</f>
        <v>-1182900000</v>
      </c>
    </row>
    <row r="13" spans="1:2" x14ac:dyDescent="0.25">
      <c r="A13" t="s">
        <v>64</v>
      </c>
      <c r="B13" s="18">
        <f>B11+B12</f>
        <v>19345765521.40621</v>
      </c>
    </row>
    <row r="14" spans="1:2" x14ac:dyDescent="0.25">
      <c r="A14" s="19" t="s">
        <v>65</v>
      </c>
      <c r="B14" s="24">
        <f>B13/Assumptions!B31</f>
        <v>53.25011153703884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2430010496.396652</v>
      </c>
    </row>
    <row r="18" spans="1:2" x14ac:dyDescent="0.25">
      <c r="A18" t="s">
        <v>60</v>
      </c>
      <c r="B18" s="18">
        <f>B17*Assumptions!B13</f>
        <v>22902943776.182617</v>
      </c>
    </row>
    <row r="19" spans="1:2" x14ac:dyDescent="0.25">
      <c r="A19" t="s">
        <v>61</v>
      </c>
      <c r="B19" s="18">
        <f>B18/(1+Assumptions!B26)^(5-0.5*Assumptions!B32)</f>
        <v>16680891020.455708</v>
      </c>
    </row>
    <row r="20" spans="1:2" x14ac:dyDescent="0.25">
      <c r="A20" t="s">
        <v>62</v>
      </c>
      <c r="B20" s="18">
        <f>Forecast!B17+B19</f>
        <v>20777898335.783966</v>
      </c>
    </row>
    <row r="21" spans="1:2" x14ac:dyDescent="0.25">
      <c r="A21" t="s">
        <v>63</v>
      </c>
      <c r="B21" s="18">
        <f>-Assumptions!B30</f>
        <v>-1182900000</v>
      </c>
    </row>
    <row r="22" spans="1:2" x14ac:dyDescent="0.25">
      <c r="A22" t="s">
        <v>64</v>
      </c>
      <c r="B22" s="18">
        <f>B20+B21</f>
        <v>19594998335.783966</v>
      </c>
    </row>
    <row r="23" spans="1:2" x14ac:dyDescent="0.25">
      <c r="A23" s="19" t="s">
        <v>65</v>
      </c>
      <c r="B23" s="25">
        <f>B22/Assumptions!B31</f>
        <v>53.93613634952922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4248</v>
      </c>
    </row>
    <row r="27" spans="1:3" x14ac:dyDescent="0.25">
      <c r="A27" t="s">
        <v>70</v>
      </c>
      <c r="B27" s="27">
        <v>85.731</v>
      </c>
      <c r="C27" s="8" t="s">
        <v>71</v>
      </c>
    </row>
    <row r="28" spans="1:2" x14ac:dyDescent="0.25">
      <c r="A28" t="s">
        <v>72</v>
      </c>
      <c r="B28" s="28">
        <f>B14*B27</f>
        <v>4565.185312181877</v>
      </c>
    </row>
    <row r="29" spans="1:2" x14ac:dyDescent="0.25">
      <c r="A29" s="19" t="s">
        <v>73</v>
      </c>
      <c r="B29" s="12">
        <f>B28/B26-1</f>
        <v>0.07466697556070545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0.052985</v>
      </c>
      <c r="B5" s="31">
        <v>76.58440051205325</v>
      </c>
      <c r="C5" s="31">
        <v>83.55666140363442</v>
      </c>
      <c r="D5" s="31">
        <v>92.9773263945537</v>
      </c>
      <c r="E5" s="31">
        <v>106.44422282829916</v>
      </c>
      <c r="F5" s="31">
        <v>127.33202246702774</v>
      </c>
    </row>
    <row r="6" spans="1:6" x14ac:dyDescent="0.25">
      <c r="A6" s="30">
        <v>0.062985</v>
      </c>
      <c r="B6" s="31">
        <v>59.88786565065074</v>
      </c>
      <c r="C6" s="31">
        <v>63.43527873227727</v>
      </c>
      <c r="D6" s="31">
        <v>67.88621290312521</v>
      </c>
      <c r="E6" s="31">
        <v>73.65154633018936</v>
      </c>
      <c r="F6" s="31">
        <v>81.43579889352121</v>
      </c>
    </row>
    <row r="7" spans="1:6" x14ac:dyDescent="0.25">
      <c r="A7" s="30">
        <v>0.072985</v>
      </c>
      <c r="B7" s="31">
        <v>48.95813756867711</v>
      </c>
      <c r="C7" s="31">
        <v>50.91223767935041</v>
      </c>
      <c r="D7" s="32">
        <v>53.25051468822428</v>
      </c>
      <c r="E7" s="31">
        <v>56.10703055814647</v>
      </c>
      <c r="F7" s="31">
        <v>59.686434042986214</v>
      </c>
    </row>
    <row r="8" spans="1:6" x14ac:dyDescent="0.25">
      <c r="A8" s="30">
        <v>0.082985</v>
      </c>
      <c r="B8" s="31">
        <v>41.25012632582103</v>
      </c>
      <c r="C8" s="31">
        <v>42.36830412538503</v>
      </c>
      <c r="D8" s="31">
        <v>43.661022511238194</v>
      </c>
      <c r="E8" s="31">
        <v>45.17769374712194</v>
      </c>
      <c r="F8" s="31">
        <v>46.98832497590297</v>
      </c>
    </row>
    <row r="9" spans="1:6" x14ac:dyDescent="0.25">
      <c r="A9" s="30">
        <v>0.092985</v>
      </c>
      <c r="B9" s="31">
        <v>35.52418538774066</v>
      </c>
      <c r="C9" s="31">
        <v>36.16779773458314</v>
      </c>
      <c r="D9" s="31">
        <v>36.89110519202882</v>
      </c>
      <c r="E9" s="31">
        <v>37.713087305351145</v>
      </c>
      <c r="F9" s="31">
        <v>38.659269983632626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11604500000</v>
      </c>
      <c r="C5" s="18">
        <v>10754400000</v>
      </c>
      <c r="D5" s="18">
        <v>10184000000</v>
      </c>
      <c r="E5" s="18">
        <v>9198400000</v>
      </c>
      <c r="F5" s="8" t="s">
        <v>84</v>
      </c>
    </row>
    <row r="6" spans="1:6" x14ac:dyDescent="0.25">
      <c r="A6" t="s">
        <v>44</v>
      </c>
      <c r="B6" s="18">
        <v>1342500000</v>
      </c>
      <c r="C6" s="18">
        <v>1177000000</v>
      </c>
      <c r="D6" s="18">
        <v>959200000</v>
      </c>
      <c r="E6" s="18">
        <v>881200000</v>
      </c>
      <c r="F6" s="8" t="s">
        <v>85</v>
      </c>
    </row>
    <row r="7" spans="1:6" x14ac:dyDescent="0.25">
      <c r="A7" t="s">
        <v>86</v>
      </c>
      <c r="B7" s="18">
        <v>425700000</v>
      </c>
      <c r="C7" s="18">
        <v>375300000</v>
      </c>
      <c r="D7" s="18">
        <v>386500000</v>
      </c>
      <c r="E7" s="18">
        <v>404800000</v>
      </c>
      <c r="F7" s="8" t="s">
        <v>87</v>
      </c>
    </row>
    <row r="8" spans="1:6" x14ac:dyDescent="0.25">
      <c r="A8" t="s">
        <v>88</v>
      </c>
      <c r="B8" s="18">
        <v>752600000</v>
      </c>
      <c r="C8" s="18">
        <v>615400000</v>
      </c>
      <c r="D8" s="18">
        <v>610700000</v>
      </c>
      <c r="E8" s="18">
        <v>523400000</v>
      </c>
      <c r="F8" s="8" t="s">
        <v>89</v>
      </c>
    </row>
    <row r="9" spans="1:6" x14ac:dyDescent="0.25">
      <c r="A9" t="s">
        <v>90</v>
      </c>
      <c r="B9" s="18">
        <v>-83400000</v>
      </c>
      <c r="C9" s="18">
        <v>-100800000</v>
      </c>
      <c r="D9" s="18">
        <v>-135700000</v>
      </c>
      <c r="E9" s="18">
        <v>-126800000</v>
      </c>
      <c r="F9" s="8" t="s">
        <v>91</v>
      </c>
    </row>
    <row r="10" spans="1:6" x14ac:dyDescent="0.25">
      <c r="A10" t="s">
        <v>92</v>
      </c>
      <c r="B10" s="18">
        <v>3913000000</v>
      </c>
      <c r="C10" s="18">
        <v>3980600000</v>
      </c>
      <c r="D10" s="18">
        <v>3424500000</v>
      </c>
      <c r="E10" s="18">
        <v>3419900000</v>
      </c>
      <c r="F10" s="8" t="s">
        <v>93</v>
      </c>
    </row>
    <row r="11" spans="1:6" x14ac:dyDescent="0.25">
      <c r="A11" t="s">
        <v>94</v>
      </c>
      <c r="B11" s="18">
        <v>2730100000</v>
      </c>
      <c r="C11" s="18">
        <v>2449800000</v>
      </c>
      <c r="D11" s="18">
        <v>1928500000</v>
      </c>
      <c r="E11" s="18">
        <v>1783700000</v>
      </c>
      <c r="F11" s="8" t="s">
        <v>95</v>
      </c>
    </row>
    <row r="12" spans="1:6" x14ac:dyDescent="0.25">
      <c r="A12" t="s">
        <v>32</v>
      </c>
      <c r="B12" s="34">
        <v>363300000</v>
      </c>
      <c r="C12" s="34">
        <v>364500000</v>
      </c>
      <c r="D12" s="34">
        <v>367824641</v>
      </c>
      <c r="E12" s="34">
        <v>366351704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