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<sst xmlns="http://schemas.openxmlformats.org/spreadsheetml/2006/main" count="121" uniqueCount="108">
  <si>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Crown Castle Inc. (CCI)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</si>
  <si>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</si>
  <si>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</si>
  <si>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</si>
  <si>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</si>
  <si>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</si>
  <si>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</si>
  <si>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</si>
  <si>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</si>
  <si>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</si>
  <si>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</si>
  <si>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</si>
  <si>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</si>
  <si>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</si>
  <si>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</si>
  <si>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</si>
  <si>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</si>
  <si>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</si>
  <si>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</si>
  <si>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</si>
  <si>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</si>
  <si>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</si>
  <si>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</si>
  <si>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</si>
  <si>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2.2x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</si>
  <si>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</si>
  <si>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</si>
  <si>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</si>
  <si>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</si>
  <si>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</si>
  <si>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</si>
  <si>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</si>
  <si>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</si>
  <si>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</si>
  <si>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</si>
  <si>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</si>
  <si>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</si>
  <si>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</si>
  <si>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</si>
  <si>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</si>
  <si>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</si>
  <si>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</si>
  <si>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</si>
  <si>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</si>
  <si>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</si>
  <si>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</si>
  <si>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</si>
  <si>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</si>
  <si>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</si>
  <si>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</si>
  <si>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</si>
  <si>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</si>
  <si>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</si>
  <si>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</si>
  <si>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</si>
  <si>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</si>
  <si>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</si>
  <si>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</si>
  <si>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</si>
  <si>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</si>
  <si>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</si>
  <si>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</si>
  <si>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</si>
  <si>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</si>
  <si>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</si>
  <si>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</si>
  <si>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</si>
  <si>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</si>
  <si>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</si>
  <si>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</si>
  <si>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</si>
  <si>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</si>
  <si>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</si>
  <si>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</si>
  <si>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</si>
  <si>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</si>
  <si>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</si>
  <si>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</si>
  <si>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</si>
  <si>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</si>
  <si>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</si>
  <si>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</si>
  <si>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</si>
  <si>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</si>
  <si>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</si>
  <si>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</si>
  <si>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</si>
  <si>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</si>
  <si>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</si>
  <si>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</si>
  <si>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</si>
  <si>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</si>
  <si>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</si>
  <si>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</si>
  <si>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</si>
  <si>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</si>
  <si>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</si>
  <si>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</si>
  <si>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</si>
  <si>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</si>
  <si>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</si>
  <si>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</si>
  <si>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</si>
  <si>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</si>
  <si>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</si>
  <si>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8.02% of revenue against depreciation of 18.44%. A business cannot depreciate more than it invests indefinitely. Capex has been set to 18.44% of revenue so the forecast is not handed free growth. Override it if the reported figure is right.</t>
  </si>
  <si>
    <t>Current EV/EBITDA of 24.3x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</si>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</sst>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-0.054550462007504685</v>
      </c>
    </row>
    <row r="7" spans="1:2" x14ac:dyDescent="0.25">
      <c r="A7" t="s">
        <v>4</v>
      </c>
      <c r="B7" s="5">
        <v>0.44775695517360076</v>
      </c>
    </row>
    <row r="8" spans="1:2" x14ac:dyDescent="0.25">
      <c r="A8" t="s">
        <v>5</v>
      </c>
      <c r="B8" s="5">
        <v>0.014776359037276018</v>
      </c>
    </row>
    <row r="9" spans="1:2" x14ac:dyDescent="0.25">
      <c r="A9" t="s">
        <v>6</v>
      </c>
      <c r="B9" s="5">
        <v>0.1843580836098806</v>
      </c>
    </row>
    <row r="10" spans="1:3" x14ac:dyDescent="0.25">
      <c r="A10" t="s">
        <v>7</v>
      </c>
      <c r="B10" s="5">
        <v>0.1843580836098806</v>
      </c>
      <c r="C10" s="6" t="s">
        <v>8</v>
      </c>
    </row>
    <row r="11" spans="1:2" x14ac:dyDescent="0.25">
      <c r="A11" t="s">
        <v>9</v>
      </c>
      <c r="B11" s="5">
        <v>0.06606660117340013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0.08634052666246118</v>
      </c>
      <c r="C14" s="6" t="s">
        <v>13</v>
      </c>
    </row>
    <row r="15" spans="1:3" x14ac:dyDescent="0.25">
      <c r="A15" t="s">
        <v>14</v>
      </c>
      <c r="B15" s="5">
        <v>0.1843580836098806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0.93903</v>
      </c>
      <c r="C19" s="6" t="s">
        <v>21</v>
      </c>
    </row>
    <row r="20" spans="1:2" x14ac:dyDescent="0.25">
      <c r="A20" t="s">
        <v>22</v>
      </c>
      <c r="B20" s="9">
        <f>B17+B19*B18</f>
        <v>0.088660969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38032109568</v>
      </c>
    </row>
    <row r="23" spans="1:2" x14ac:dyDescent="0.25">
      <c r="A23" t="s">
        <v>26</v>
      </c>
      <c r="B23" s="10">
        <v>29566000000</v>
      </c>
    </row>
    <row r="24" spans="1:2" x14ac:dyDescent="0.25">
      <c r="A24" t="s">
        <v>27</v>
      </c>
      <c r="B24" s="9">
        <f>B22/(B22+B23)</f>
        <v>0.5626209048012175</v>
      </c>
    </row>
    <row r="25" spans="1:2" x14ac:dyDescent="0.25">
      <c r="A25" t="s">
        <v>28</v>
      </c>
      <c r="B25" s="9">
        <f>1-B24</f>
        <v>0.4373790951987825</v>
      </c>
    </row>
    <row r="26" spans="1:2" x14ac:dyDescent="0.25">
      <c r="A26" t="s">
        <v>29</v>
      </c>
      <c r="B26" s="11">
        <f>B24*B20+B25*B21*(1-B8)</f>
        <v>0.0789004131674473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4264000000</v>
      </c>
      <c r="C29" s="6" t="s">
        <v>32</v>
      </c>
    </row>
    <row r="30" spans="1:2" x14ac:dyDescent="0.25">
      <c r="A30" t="s">
        <v>33</v>
      </c>
      <c r="B30" s="10">
        <v>29467000000</v>
      </c>
    </row>
    <row r="31" spans="1:2" x14ac:dyDescent="0.25">
      <c r="A31" t="s">
        <v>34</v>
      </c>
      <c r="B31" s="12">
        <v>437000000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-0.054550462007504685</v>
      </c>
      <c r="C5" s="5">
        <v>0.01580389197259957</v>
      </c>
      <c r="D5" s="5">
        <v>0.016953405476024624</v>
      </c>
      <c r="E5" s="5">
        <v>0.018102918979449677</v>
      </c>
      <c r="F5" s="5">
        <v>0.019252432482874733</v>
      </c>
      <c r="G5" s="5">
        <v>0.020401945986299786</v>
      </c>
      <c r="H5" s="5">
        <v>0.02155145948972484</v>
      </c>
      <c r="I5" s="5">
        <v>0.022700972993149895</v>
      </c>
      <c r="J5" s="5">
        <v>0.02385048649657495</v>
      </c>
      <c r="K5" s="5">
        <v>0.025</v>
      </c>
    </row>
    <row r="6" spans="1:11" x14ac:dyDescent="0.25">
      <c r="A6" t="s">
        <v>50</v>
      </c>
      <c r="B6" s="18">
        <f>Assumptions!B29*(1+B5)</f>
        <v>4031396830</v>
      </c>
      <c r="C6" s="18">
        <f>B6*(1+C5)</f>
        <v>4095108590.0000005</v>
      </c>
      <c r="D6" s="18">
        <f>C6*(1+D5)</f>
        <v>4164534626.3946214</v>
      </c>
      <c r="E6" s="18">
        <f>D6*(1+E5)</f>
        <v>4239924859.323356</v>
      </c>
      <c r="F6" s="18">
        <f>E6*(1+F5)</f>
        <v>4321553726.409941</v>
      </c>
      <c r="G6" s="18">
        <f>F6*(1+G5)</f>
        <v>4409721832.1130495</v>
      </c>
      <c r="H6" s="18">
        <f>G6*(1+H5)</f>
        <v>4504757773.538789</v>
      </c>
      <c r="I6" s="18">
        <f>H6*(1+I5)</f>
        <v>4607020158.096576</v>
      </c>
      <c r="J6" s="18">
        <f>I6*(1+J5)</f>
        <v>4716899830.166707</v>
      </c>
      <c r="K6" s="18">
        <f>J6*(1+K5)</f>
        <v>4834822325.920875</v>
      </c>
    </row>
    <row r="7" spans="1:11" x14ac:dyDescent="0.25">
      <c r="A7" t="s">
        <v>4</v>
      </c>
      <c r="B7" s="9">
        <f>Assumptions!B7</f>
        <v>0.44775695517360076</v>
      </c>
      <c r="C7" s="9">
        <f>Assumptions!B7</f>
        <v>0.44775695517360076</v>
      </c>
      <c r="D7" s="9">
        <f>Assumptions!B7</f>
        <v>0.44775695517360076</v>
      </c>
      <c r="E7" s="9">
        <f>Assumptions!B7</f>
        <v>0.44775695517360076</v>
      </c>
      <c r="F7" s="9">
        <f>Assumptions!B7</f>
        <v>0.44775695517360076</v>
      </c>
      <c r="G7" s="9">
        <f>Assumptions!B7</f>
        <v>0.44775695517360076</v>
      </c>
      <c r="H7" s="9">
        <f>Assumptions!B7</f>
        <v>0.44775695517360076</v>
      </c>
      <c r="I7" s="9">
        <f>Assumptions!B7</f>
        <v>0.44775695517360076</v>
      </c>
      <c r="J7" s="9">
        <f>Assumptions!B7</f>
        <v>0.44775695517360076</v>
      </c>
      <c r="K7" s="9">
        <f>Assumptions!B7</f>
        <v>0.44775695517360076</v>
      </c>
    </row>
    <row r="8" spans="1:11" x14ac:dyDescent="0.25">
      <c r="A8" t="s">
        <v>51</v>
      </c>
      <c r="B8" s="18">
        <f>B6*B7</f>
        <v>1805085969.6973062</v>
      </c>
      <c r="C8" s="18">
        <f>C6*C7</f>
        <v>1833613353.3636577</v>
      </c>
      <c r="D8" s="18">
        <f>D6*D7</f>
        <v>1864699344.0294847</v>
      </c>
      <c r="E8" s="18">
        <f>E6*E7</f>
        <v>1898455845.1754835</v>
      </c>
      <c r="F8" s="18">
        <f>F6*F7</f>
        <v>1935005738.156443</v>
      </c>
      <c r="G8" s="18">
        <f>G6*G7</f>
        <v>1974483620.7094913</v>
      </c>
      <c r="H8" s="18">
        <f>H6*H7</f>
        <v>2017036624.474337</v>
      </c>
      <c r="I8" s="18">
        <f>I6*I7</f>
        <v>2062825318.4127235</v>
      </c>
      <c r="J8" s="18">
        <f>J6*J7</f>
        <v>2112024705.8143194</v>
      </c>
      <c r="K8" s="18">
        <f>K6*K7</f>
        <v>2164825323.459677</v>
      </c>
    </row>
    <row r="9" spans="1:11" x14ac:dyDescent="0.25">
      <c r="A9" t="s">
        <v>52</v>
      </c>
      <c r="B9" s="18">
        <f>B8*(1-Assumptions!B8)</f>
        <v>1778413371.3159091</v>
      </c>
      <c r="C9" s="18">
        <f>C8*(1-Assumptions!B8)</f>
        <v>1806519224.1188126</v>
      </c>
      <c r="D9" s="18">
        <f>D8*(1-Assumptions!B8)</f>
        <v>1837145877.025532</v>
      </c>
      <c r="E9" s="18">
        <f>E8*(1-Assumptions!B8)</f>
        <v>1870403579.9907553</v>
      </c>
      <c r="F9" s="18">
        <f>F8*(1-Assumptions!B8)</f>
        <v>1906413398.6302543</v>
      </c>
      <c r="G9" s="18">
        <f>G8*(1-Assumptions!B8)</f>
        <v>1945307941.816667</v>
      </c>
      <c r="H9" s="18">
        <f>H8*(1-Assumptions!B8)</f>
        <v>1987232167.119769</v>
      </c>
      <c r="I9" s="18">
        <f>I8*(1-Assumptions!B8)</f>
        <v>2032344270.876674</v>
      </c>
      <c r="J9" s="18">
        <f>J8*(1-Assumptions!B8)</f>
        <v>2080816670.4656098</v>
      </c>
      <c r="K9" s="18">
        <f>K8*(1-Assumptions!B8)</f>
        <v>2132837087.2272499</v>
      </c>
    </row>
    <row r="10" spans="1:11" x14ac:dyDescent="0.25">
      <c r="A10" t="s">
        <v>53</v>
      </c>
      <c r="B10" s="18">
        <f>B6*Assumptions!B9</f>
        <v>743220593.8497475</v>
      </c>
      <c r="C10" s="18">
        <f>C6*Assumptions!B9</f>
        <v>754966371.8267603</v>
      </c>
      <c r="D10" s="18">
        <f>D6*Assumptions!B9</f>
        <v>767765622.8491025</v>
      </c>
      <c r="E10" s="18">
        <f>E6*Assumptions!B9</f>
        <v>781664421.7147465</v>
      </c>
      <c r="F10" s="18">
        <f>F6*Assumptions!B9</f>
        <v>796713363.2180749</v>
      </c>
      <c r="G10" s="18">
        <f>G6*Assumptions!B9</f>
        <v>812967866.2210134</v>
      </c>
      <c r="H10" s="18">
        <f>H6*Assumptions!B9</f>
        <v>830488510.2563236</v>
      </c>
      <c r="I10" s="18">
        <f>I6*Assumptions!B9</f>
        <v>849341407.4987738</v>
      </c>
      <c r="J10" s="18">
        <f>J6*Assumptions!B9</f>
        <v>869598613.2693053</v>
      </c>
      <c r="K10" s="18">
        <f>K6*Assumptions!B9</f>
        <v>891338578.601038</v>
      </c>
    </row>
    <row r="11" spans="1:11" x14ac:dyDescent="0.25">
      <c r="A11" t="s">
        <v>54</v>
      </c>
      <c r="B11" s="18">
        <f>-B6*B19</f>
        <v>-743220593.8497475</v>
      </c>
      <c r="C11" s="18">
        <f>-C6*C19</f>
        <v>-813086343.4074682</v>
      </c>
      <c r="D11" s="18">
        <f>-D6*D19</f>
        <v>-885976228.8994436</v>
      </c>
      <c r="E11" s="18">
        <f>-E6*E19</f>
        <v>-962190266.3260196</v>
      </c>
      <c r="F11" s="18">
        <f>-F6*F19</f>
        <v>-1042048571.5461625</v>
      </c>
      <c r="G11" s="18">
        <f>-G6*G19</f>
        <v>-1125893521.217182</v>
      </c>
      <c r="H11" s="18">
        <f>-H6*H19</f>
        <v>-1214092101.7440603</v>
      </c>
      <c r="I11" s="18">
        <f>-I6*I19</f>
        <v>-1307038468.1333115</v>
      </c>
      <c r="J11" s="18">
        <f>-J6*J19</f>
        <v>-1405156736.92499</v>
      </c>
      <c r="K11" s="18">
        <f>-K6*K19</f>
        <v>-1508904039.9414992</v>
      </c>
    </row>
    <row r="12" spans="1:11" x14ac:dyDescent="0.25">
      <c r="A12" t="s">
        <v>55</v>
      </c>
      <c r="B12" s="18">
        <f>-(B6-Assumptions!B29)*Assumptions!B11</f>
        <v>15367300.86405859</v>
      </c>
      <c r="C12" s="18">
        <f>-(C6-B6)*Assumptions!B11</f>
        <v>-4209219.437975419</v>
      </c>
      <c r="D12" s="18">
        <f>-(D6-C6)*Assumptions!B11</f>
        <v>-4586742.257533381</v>
      </c>
      <c r="E12" s="18">
        <f>-(E6-D6)*Assumptions!B11</f>
        <v>-4980776.451272459</v>
      </c>
      <c r="F12" s="18">
        <f>-(F6-E6)*Assumptions!B11</f>
        <v>-5392941.806045871</v>
      </c>
      <c r="G12" s="18">
        <f>-(G6-F6)*Assumptions!B11</f>
        <v>-5824967.075701473</v>
      </c>
      <c r="H12" s="18">
        <f>-(H6-G6)*Assumptions!B11</f>
        <v>-6278701.639312933</v>
      </c>
      <c r="I12" s="18">
        <f>-(I6-H6)*Assumptions!B11</f>
        <v>-6756128.175620182</v>
      </c>
      <c r="J12" s="18">
        <f>-(J6-I6)*Assumptions!B11</f>
        <v>-7259376.471721359</v>
      </c>
      <c r="K12" s="18">
        <f>-(K6-J6)*Assumptions!B11</f>
        <v>-7790738.496362559</v>
      </c>
    </row>
    <row r="13" spans="1:11" x14ac:dyDescent="0.25">
      <c r="A13" s="19" t="s">
        <v>56</v>
      </c>
      <c r="B13" s="20">
        <f>B9+B10+B11+B12</f>
        <v>1793780672.1799674</v>
      </c>
      <c r="C13" s="20">
        <f>C9+C10+C11+C12</f>
        <v>1744190033.1001291</v>
      </c>
      <c r="D13" s="20">
        <f>D9+D10+D11+D12</f>
        <v>1714348528.7176578</v>
      </c>
      <c r="E13" s="20">
        <f>E9+E10+E11+E12</f>
        <v>1684896958.9282093</v>
      </c>
      <c r="F13" s="20">
        <f>F9+F10+F11+F12</f>
        <v>1655685248.4961207</v>
      </c>
      <c r="G13" s="20">
        <f>G9+G10+G11+G12</f>
        <v>1626557319.7447972</v>
      </c>
      <c r="H13" s="20">
        <f>H9+H10+H11+H12</f>
        <v>1597349873.9927197</v>
      </c>
      <c r="I13" s="20">
        <f>I9+I10+I11+I12</f>
        <v>1567891082.0665162</v>
      </c>
      <c r="J13" s="20">
        <f>J9+J10+J11+J12</f>
        <v>1537999170.338204</v>
      </c>
      <c r="K13" s="20">
        <f>K9+K10+K11+K12</f>
        <v>1507480887.3904264</v>
      </c>
    </row>
    <row r="14" spans="1:11" x14ac:dyDescent="0.25">
      <c r="A14" t="s">
        <v>57</v>
      </c>
      <c r="B14" s="21">
        <f>1/(1+Assumptions!$B$26)^(1-0.5*Assumptions!$B$32)</f>
        <v>0.9627406739083809</v>
      </c>
      <c r="C14" s="21">
        <f>1/(1+Assumptions!$B$26)^(2-0.5*Assumptions!$B$32)</f>
        <v>0.8923350683330972</v>
      </c>
      <c r="D14" s="21">
        <f>1/(1+Assumptions!$B$26)^(3-0.5*Assumptions!$B$32)</f>
        <v>0.8270782524898386</v>
      </c>
      <c r="E14" s="21">
        <f>1/(1+Assumptions!$B$26)^(4-0.5*Assumptions!$B$32)</f>
        <v>0.7665936933527474</v>
      </c>
      <c r="F14" s="21">
        <f>1/(1+Assumptions!$B$26)^(5-0.5*Assumptions!$B$32)</f>
        <v>0.710532393904803</v>
      </c>
      <c r="G14" s="21">
        <f>1/(1+Assumptions!$B$26)^(6-0.5*Assumptions!$B$32)</f>
        <v>0.6585708794186244</v>
      </c>
      <c r="H14" s="21">
        <f>1/(1+Assumptions!$B$26)^(7-0.5*Assumptions!$B$32)</f>
        <v>0.6104093310013526</v>
      </c>
      <c r="I14" s="21">
        <f>1/(1+Assumptions!$B$26)^(8-0.5*Assumptions!$B$32)</f>
        <v>0.5657698556341325</v>
      </c>
      <c r="J14" s="21">
        <f>1/(1+Assumptions!$B$26)^(9-0.5*Assumptions!$B$32)</f>
        <v>0.5243948827242908</v>
      </c>
      <c r="K14" s="21">
        <f>1/(1+Assumptions!$B$26)^(10-0.5*Assumptions!$B$32)</f>
        <v>0.486045677918286</v>
      </c>
    </row>
    <row r="15" spans="1:11" x14ac:dyDescent="0.25">
      <c r="A15" s="19" t="s">
        <v>58</v>
      </c>
      <c r="B15" s="20">
        <f>B13*B14</f>
        <v>1726945613.1783702</v>
      </c>
      <c r="C15" s="20">
        <f>C13*C14</f>
        <v>1556401932.3723106</v>
      </c>
      <c r="D15" s="20">
        <f>D13*D14</f>
        <v>1417900385.2903264</v>
      </c>
      <c r="E15" s="20">
        <f>E13*E14</f>
        <v>1291631382.6635883</v>
      </c>
      <c r="F15" s="20">
        <f>F13*F14</f>
        <v>1176418003.1668174</v>
      </c>
      <c r="G15" s="20">
        <f>G13*G14</f>
        <v>1071203284.4891317</v>
      </c>
      <c r="H15" s="20">
        <f>H13*H14</f>
        <v>975037267.9589909</v>
      </c>
      <c r="I15" s="20">
        <f>I13*I14</f>
        <v>887065511.1508167</v>
      </c>
      <c r="J15" s="20">
        <f>J13*J14</f>
        <v>806518894.559559</v>
      </c>
      <c r="K15" s="20">
        <f>K13*K14</f>
        <v>732704569.8605392</v>
      </c>
    </row>
    <row r="17" spans="1:2" x14ac:dyDescent="0.25">
      <c r="A17" s="22" t="s">
        <v>59</v>
      </c>
      <c r="B17" s="23">
        <f>SUM(B15:K15)</f>
        <v>11641826844.690449</v>
      </c>
    </row>
    <row r="19" spans="1:11" x14ac:dyDescent="0.25">
      <c r="A19" t="s">
        <v>7</v>
      </c>
      <c r="B19" s="9">
        <f>Assumptions!$B$10+($B$20-Assumptions!$B$10)*0/9</f>
        <v>0.1843580836098806</v>
      </c>
      <c r="C19" s="9">
        <f>Assumptions!$B$10+($B$20-Assumptions!$B$10)*1/9</f>
        <v>0.19855061850935388</v>
      </c>
      <c r="D19" s="9">
        <f>Assumptions!$B$10+($B$20-Assumptions!$B$10)*2/9</f>
        <v>0.21274315340882716</v>
      </c>
      <c r="E19" s="9">
        <f>Assumptions!$B$10+($B$20-Assumptions!$B$10)*3/9</f>
        <v>0.2269356883083004</v>
      </c>
      <c r="F19" s="9">
        <f>Assumptions!$B$10+($B$20-Assumptions!$B$10)*4/9</f>
        <v>0.24112822320777372</v>
      </c>
      <c r="G19" s="9">
        <f>Assumptions!$B$10+($B$20-Assumptions!$B$10)*5/9</f>
        <v>0.25532075810724697</v>
      </c>
      <c r="H19" s="9">
        <f>Assumptions!$B$10+($B$20-Assumptions!$B$10)*6/9</f>
        <v>0.2695132930067202</v>
      </c>
      <c r="I19" s="9">
        <f>Assumptions!$B$10+($B$20-Assumptions!$B$10)*7/9</f>
        <v>0.28370582790619353</v>
      </c>
      <c r="J19" s="9">
        <f>Assumptions!$B$10+($B$20-Assumptions!$B$10)*8/9</f>
        <v>0.29789836280566684</v>
      </c>
      <c r="K19" s="9">
        <f>Assumptions!$B$10+($B$20-Assumptions!$B$10)*9/9</f>
        <v>0.3120908977051401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0.3120908977051401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1507480887.3904264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2132837087.2272499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0.28955116405225045</v>
      </c>
    </row>
    <row r="7" spans="1:2" x14ac:dyDescent="0.25">
      <c r="A7" t="s">
        <v>66</v>
      </c>
      <c r="B7" s="18">
        <f>-MAX(B5,0)*B6</f>
        <v>-617565461.3404615</v>
      </c>
    </row>
    <row r="8" spans="1:2" x14ac:dyDescent="0.25">
      <c r="A8" t="s">
        <v>67</v>
      </c>
      <c r="B8" s="18">
        <f>IF(OR(Assumptions!$B$33=0,Assumptions!B12&lt;=0),B5,MAX(B5+B7,0))</f>
        <v>1515271625.8867884</v>
      </c>
    </row>
    <row r="9" spans="1:2" x14ac:dyDescent="0.25">
      <c r="A9" t="s">
        <v>68</v>
      </c>
      <c r="B9" s="18">
        <f>B8*(1+Assumptions!B12)/(Assumptions!B26-Assumptions!B12)</f>
        <v>28815241391.729668</v>
      </c>
    </row>
    <row r="10" spans="1:2" x14ac:dyDescent="0.25">
      <c r="A10" t="s">
        <v>69</v>
      </c>
      <c r="B10" s="18">
        <f>B9/(1+Assumptions!B26)^(10-0.5*Assumptions!B32)</f>
        <v>14005523536.622301</v>
      </c>
    </row>
    <row r="11" spans="1:2" x14ac:dyDescent="0.25">
      <c r="A11" t="s">
        <v>70</v>
      </c>
      <c r="B11" s="18">
        <f>Forecast!B17+B10</f>
        <v>25647350381.31275</v>
      </c>
    </row>
    <row r="12" spans="1:2" x14ac:dyDescent="0.25">
      <c r="A12" t="s">
        <v>71</v>
      </c>
      <c r="B12" s="18">
        <f>-Assumptions!B30</f>
        <v>-29467000000</v>
      </c>
    </row>
    <row r="13" spans="1:2" x14ac:dyDescent="0.25">
      <c r="A13" t="s">
        <v>72</v>
      </c>
      <c r="B13" s="18">
        <f>B11+B12</f>
        <v>-3819649618.687248</v>
      </c>
    </row>
    <row r="14" spans="1:2" x14ac:dyDescent="0.25">
      <c r="A14" s="19" t="s">
        <v>73</v>
      </c>
      <c r="B14" s="24">
        <f>B13/Assumptions!B31</f>
        <v>-8.740616976401025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3056163902.060715</v>
      </c>
    </row>
    <row r="18" spans="1:2" x14ac:dyDescent="0.25">
      <c r="A18" t="s">
        <v>68</v>
      </c>
      <c r="B18" s="18">
        <f>B17*Assumptions!B13</f>
        <v>61123278041.2143</v>
      </c>
    </row>
    <row r="19" spans="1:2" x14ac:dyDescent="0.25">
      <c r="A19" t="s">
        <v>69</v>
      </c>
      <c r="B19" s="18">
        <f>B18/(1+Assumptions!B26)^(10-0.5*Assumptions!B32)</f>
        <v>29708705112.12989</v>
      </c>
    </row>
    <row r="20" spans="1:2" x14ac:dyDescent="0.25">
      <c r="A20" t="s">
        <v>70</v>
      </c>
      <c r="B20" s="18">
        <f>Forecast!B17+B19</f>
        <v>41350531956.82034</v>
      </c>
    </row>
    <row r="21" spans="1:2" x14ac:dyDescent="0.25">
      <c r="A21" t="s">
        <v>71</v>
      </c>
      <c r="B21" s="18">
        <f>-Assumptions!B30</f>
        <v>-29467000000</v>
      </c>
    </row>
    <row r="22" spans="1:2" x14ac:dyDescent="0.25">
      <c r="A22" t="s">
        <v>72</v>
      </c>
      <c r="B22" s="18">
        <f>B20+B21</f>
        <v>11883531956.820343</v>
      </c>
    </row>
    <row r="23" spans="1:2" x14ac:dyDescent="0.25">
      <c r="A23" s="19" t="s">
        <v>73</v>
      </c>
      <c r="B23" s="25">
        <f>B22/Assumptions!B31</f>
        <v>27.193436972128932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87.03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-8.740616976401025</v>
      </c>
    </row>
    <row r="29" spans="1:2" x14ac:dyDescent="0.25">
      <c r="A29" s="19" t="s">
        <v>81</v>
      </c>
      <c r="B29" s="11">
        <f>B28/B26-1</f>
        <v>-1.1004322299942666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0.0589</v>
      </c>
      <c r="B5" s="31">
        <v>17.3848267411837</v>
      </c>
      <c r="C5" s="31">
        <v>19.438665610999607</v>
      </c>
      <c r="D5" s="31">
        <v>22.31615527205169</v>
      </c>
      <c r="E5" s="31">
        <v>26.44479613501619</v>
      </c>
      <c r="F5" s="31">
        <v>32.60982954000551</v>
      </c>
    </row>
    <row r="6" spans="1:6" x14ac:dyDescent="0.25">
      <c r="A6" s="30">
        <v>0.0689</v>
      </c>
      <c r="B6" s="31">
        <v>2.310911482675129</v>
      </c>
      <c r="C6" s="31">
        <v>2.674601735173363</v>
      </c>
      <c r="D6" s="31">
        <v>3.280096195258361</v>
      </c>
      <c r="E6" s="31">
        <v>4.2206355599430525</v>
      </c>
      <c r="F6" s="31">
        <v>5.644469787014881</v>
      </c>
    </row>
    <row r="7" spans="1:6" x14ac:dyDescent="0.25">
      <c r="A7" s="30">
        <v>0.0789</v>
      </c>
      <c r="B7" s="31">
        <v>-8.060333830190375</v>
      </c>
      <c r="C7" s="31">
        <v>-8.427453357877866</v>
      </c>
      <c r="D7" s="32">
        <v>-8.740211542788439</v>
      </c>
      <c r="E7" s="31">
        <v>-8.981933126401556</v>
      </c>
      <c r="F7" s="31">
        <v>-9.128345921485762</v>
      </c>
    </row>
    <row r="8" spans="1:6" x14ac:dyDescent="0.25">
      <c r="A8" s="30">
        <v>0.0889</v>
      </c>
      <c r="B8" s="31">
        <v>-15.422966516749122</v>
      </c>
      <c r="C8" s="31">
        <v>-16.029974058047173</v>
      </c>
      <c r="D8" s="31">
        <v>-16.636981599345262</v>
      </c>
      <c r="E8" s="31">
        <v>-17.243989140643333</v>
      </c>
      <c r="F8" s="31">
        <v>-17.85099668194141</v>
      </c>
    </row>
    <row r="9" spans="1:6" x14ac:dyDescent="0.25">
      <c r="A9" s="30">
        <v>0.0989</v>
      </c>
      <c r="B9" s="31">
        <v>-20.616567223664884</v>
      </c>
      <c r="C9" s="31">
        <v>-21.133604437978224</v>
      </c>
      <c r="D9" s="31">
        <v>-21.650641652291565</v>
      </c>
      <c r="E9" s="31">
        <v>-22.16767886660491</v>
      </c>
      <c r="F9" s="31">
        <v>-22.68471608091825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4264000000</v>
      </c>
      <c r="C5" s="18">
        <v>4460000000</v>
      </c>
      <c r="D5" s="18">
        <v>4734000000</v>
      </c>
      <c r="E5" s="18">
        <v>6986000000</v>
      </c>
      <c r="F5" s="6" t="s">
        <v>91</v>
      </c>
    </row>
    <row r="6" spans="1:6" x14ac:dyDescent="0.25">
      <c r="A6" t="s">
        <v>51</v>
      </c>
      <c r="B6" s="18">
        <v>2086000000</v>
      </c>
      <c r="C6" s="18">
        <v>2199000000</v>
      </c>
      <c r="D6" s="18">
        <v>2180000000</v>
      </c>
      <c r="E6" s="18">
        <v>2433000000</v>
      </c>
      <c r="F6" s="6" t="s">
        <v>92</v>
      </c>
    </row>
    <row r="7" spans="1:6" x14ac:dyDescent="0.25">
      <c r="A7" t="s">
        <v>93</v>
      </c>
      <c r="B7" s="18">
        <v>690000000</v>
      </c>
      <c r="C7" s="18">
        <v>736000000</v>
      </c>
      <c r="D7" s="18">
        <v>787000000</v>
      </c>
      <c r="E7" s="18">
        <v>1707000000</v>
      </c>
      <c r="F7" s="6" t="s">
        <v>94</v>
      </c>
    </row>
    <row r="8" spans="1:6" x14ac:dyDescent="0.25">
      <c r="A8" t="s">
        <v>95</v>
      </c>
      <c r="B8" s="18">
        <v>182000000</v>
      </c>
      <c r="C8" s="18">
        <v>176000000</v>
      </c>
      <c r="D8" s="18">
        <v>243000000</v>
      </c>
      <c r="E8" s="18">
        <v>1310000000</v>
      </c>
      <c r="F8" s="6" t="s">
        <v>96</v>
      </c>
    </row>
    <row r="9" spans="1:6" x14ac:dyDescent="0.25">
      <c r="A9" t="s">
        <v>97</v>
      </c>
      <c r="B9" s="18">
        <v>33000000</v>
      </c>
      <c r="C9" s="18">
        <v>242000000</v>
      </c>
      <c r="D9" s="18">
        <v>254000000</v>
      </c>
      <c r="E9" s="18">
        <v>747000000</v>
      </c>
      <c r="F9" s="6" t="s">
        <v>98</v>
      </c>
    </row>
    <row r="10" spans="1:6" x14ac:dyDescent="0.25">
      <c r="A10" t="s">
        <v>99</v>
      </c>
      <c r="B10" s="18">
        <v>29566000000</v>
      </c>
      <c r="C10" s="18">
        <v>29380000000</v>
      </c>
      <c r="D10" s="18">
        <v>28814000000</v>
      </c>
      <c r="E10" s="18">
        <v>27960000000</v>
      </c>
      <c r="F10" s="6" t="s">
        <v>100</v>
      </c>
    </row>
    <row r="11" spans="1:6" x14ac:dyDescent="0.25">
      <c r="A11" t="s">
        <v>101</v>
      </c>
      <c r="B11" s="18">
        <v>99000000</v>
      </c>
      <c r="C11" s="18">
        <v>100000000</v>
      </c>
      <c r="D11" s="18">
        <v>105000000</v>
      </c>
      <c r="E11" s="18">
        <v>156000000</v>
      </c>
      <c r="F11" s="6" t="s">
        <v>102</v>
      </c>
    </row>
    <row r="12" spans="1:6" x14ac:dyDescent="0.25">
      <c r="A12" t="s">
        <v>34</v>
      </c>
      <c r="B12" s="34">
        <v>437000000</v>
      </c>
      <c r="C12" s="34">
        <v>434000000</v>
      </c>
      <c r="D12" s="34">
        <v>434000000</v>
      </c>
      <c r="E12" s="34">
        <v>434000000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