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<sst xmlns="http://schemas.openxmlformats.org/spreadsheetml/2006/main" count="121" uniqueCount="108">
  <si>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Carnival Corporation Ltd. (CCL)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</si>
  <si>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</si>
  <si>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</si>
  <si>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</si>
  <si>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</si>
  <si>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</si>
  <si>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</si>
  <si>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</si>
  <si>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</si>
  <si>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</si>
  <si>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</si>
  <si>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</si>
  <si>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</si>
  <si>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</si>
  <si>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</si>
  <si>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</si>
  <si>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</si>
  <si>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</si>
  <si>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</si>
  <si>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</si>
  <si>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</si>
  <si>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</si>
  <si>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</si>
  <si>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</si>
  <si>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</si>
  <si>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</si>
  <si>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</si>
  <si>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</si>
  <si>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</si>
  <si>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</si>
  <si>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</si>
  <si>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</si>
  <si>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</si>
  <si>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</si>
  <si>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</si>
  <si>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</si>
  <si>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</si>
  <si>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</si>
  <si>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</si>
  <si>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</si>
  <si>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</si>
  <si>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</si>
  <si>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</si>
  <si>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</si>
  <si>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</si>
  <si>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</si>
  <si>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</si>
  <si>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</si>
  <si>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</si>
  <si>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</si>
  <si>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</si>
  <si>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</si>
  <si>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</si>
  <si>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</si>
  <si>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</si>
  <si>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</si>
  <si>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</si>
  <si>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</si>
  <si>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</si>
  <si>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</si>
  <si>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</si>
  <si>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</si>
  <si>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</si>
  <si>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</si>
  <si>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</si>
  <si>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</si>
  <si>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</si>
  <si>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</si>
  <si>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</si>
  <si>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</si>
  <si>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</si>
  <si>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</si>
  <si>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</si>
  <si>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</si>
  <si>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</si>
  <si>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</si>
  <si>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</si>
  <si>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</si>
  <si>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</si>
  <si>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</si>
  <si>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</si>
  <si>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</si>
  <si>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</si>
  <si>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</si>
  <si>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</si>
  <si>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</si>
  <si>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</si>
  <si>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</si>
  <si>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</si>
  <si>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</si>
  <si>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</si>
  <si>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</si>
  <si>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</si>
  <si>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</si>
  <si>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</si>
  <si>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</si>
  <si>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</si>
  <si>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</si>
  <si>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</si>
  <si>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</si>
  <si>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</si>
  <si>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</si>
  <si>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</si>
  <si>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</si>
  <si>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</si>
  <si>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</si>
  <si>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22.0% of revenue against depreciation of 12.6%.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</si>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</sst>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0.041334674505089986</v>
      </c>
    </row>
    <row r="7" spans="1:2" x14ac:dyDescent="0.25">
      <c r="A7" t="s">
        <v>4</v>
      </c>
      <c r="B7" s="5">
        <v>0.010505407063468322</v>
      </c>
    </row>
    <row r="8" spans="1:2" x14ac:dyDescent="0.25">
      <c r="A8" t="s">
        <v>5</v>
      </c>
      <c r="B8" s="5">
        <v>0.004329004329004329</v>
      </c>
    </row>
    <row r="9" spans="1:2" x14ac:dyDescent="0.25">
      <c r="A9" t="s">
        <v>6</v>
      </c>
      <c r="B9" s="5">
        <v>0.12592671857812884</v>
      </c>
    </row>
    <row r="10" spans="1:3" x14ac:dyDescent="0.25">
      <c r="A10" t="s">
        <v>7</v>
      </c>
      <c r="B10" s="5">
        <v>0.21964133918881906</v>
      </c>
      <c r="C10" s="6" t="s">
        <v>8</v>
      </c>
    </row>
    <row r="11" spans="1:2" x14ac:dyDescent="0.25">
      <c r="A11" t="s">
        <v>9</v>
      </c>
      <c r="B11" s="5">
        <v>-0.003109568989068095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8.915031524752475</v>
      </c>
    </row>
    <row r="14" spans="1:3" x14ac:dyDescent="0.25">
      <c r="A14" t="s">
        <v>12</v>
      </c>
      <c r="B14" s="5">
        <v>0.0998569185815795</v>
      </c>
      <c r="C14" s="6" t="s">
        <v>13</v>
      </c>
    </row>
    <row r="15" spans="1:3" x14ac:dyDescent="0.25">
      <c r="A15" t="s">
        <v>14</v>
      </c>
      <c r="B15" s="5">
        <v>0.12592671857812884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1.9252699999999998</v>
      </c>
      <c r="C19" s="6" t="s">
        <v>21</v>
      </c>
    </row>
    <row r="20" spans="1:2" x14ac:dyDescent="0.25">
      <c r="A20" t="s">
        <v>22</v>
      </c>
      <c r="B20" s="9">
        <f>B17+B19*B18</f>
        <v>0.13037892099999998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38765109248</v>
      </c>
    </row>
    <row r="23" spans="1:2" x14ac:dyDescent="0.25">
      <c r="A23" t="s">
        <v>26</v>
      </c>
      <c r="B23" s="10">
        <v>27993000000</v>
      </c>
    </row>
    <row r="24" spans="1:2" x14ac:dyDescent="0.25">
      <c r="A24" t="s">
        <v>27</v>
      </c>
      <c r="B24" s="9">
        <f>B22/(B22+B23)</f>
        <v>0.5806801553350069</v>
      </c>
    </row>
    <row r="25" spans="1:2" x14ac:dyDescent="0.25">
      <c r="A25" t="s">
        <v>28</v>
      </c>
      <c r="B25" s="9">
        <f>1-B24</f>
        <v>0.41931984466499306</v>
      </c>
    </row>
    <row r="26" spans="1:2" x14ac:dyDescent="0.25">
      <c r="A26" t="s">
        <v>29</v>
      </c>
      <c r="B26" s="11">
        <f>B24*B20+B25*B21*(1-B8)</f>
        <v>0.0998569185815795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26621000000</v>
      </c>
      <c r="C29" s="6" t="s">
        <v>32</v>
      </c>
    </row>
    <row r="30" spans="1:2" x14ac:dyDescent="0.25">
      <c r="A30" t="s">
        <v>33</v>
      </c>
      <c r="B30" s="10">
        <v>26065000000</v>
      </c>
    </row>
    <row r="31" spans="1:2" x14ac:dyDescent="0.25">
      <c r="A31" t="s">
        <v>34</v>
      </c>
      <c r="B31" s="12">
        <v>1402000000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0.041334674505089986</v>
      </c>
      <c r="C5" s="5">
        <v>0.031564885441123236</v>
      </c>
      <c r="D5" s="5">
        <v>0.03074427476098283</v>
      </c>
      <c r="E5" s="5">
        <v>0.029923664080842426</v>
      </c>
      <c r="F5" s="5">
        <v>0.029103053400702024</v>
      </c>
      <c r="G5" s="5">
        <v>0.02828244272056162</v>
      </c>
      <c r="H5" s="5">
        <v>0.027461832040421214</v>
      </c>
      <c r="I5" s="5">
        <v>0.026641221360280812</v>
      </c>
      <c r="J5" s="5">
        <v>0.025820610680140407</v>
      </c>
      <c r="K5" s="5">
        <v>0.025</v>
      </c>
    </row>
    <row r="6" spans="1:11" x14ac:dyDescent="0.25">
      <c r="A6" t="s">
        <v>50</v>
      </c>
      <c r="B6" s="18">
        <f>Assumptions!B29*(1+B5)</f>
        <v>27721370370</v>
      </c>
      <c r="C6" s="18">
        <f>B6*(1+C5)</f>
        <v>28596392249.999996</v>
      </c>
      <c r="D6" s="18">
        <f>C6*(1+D5)</f>
        <v>29475567590.506832</v>
      </c>
      <c r="E6" s="18">
        <f>D6*(1+E5)</f>
        <v>30357584573.677326</v>
      </c>
      <c r="F6" s="18">
        <f>E6*(1+F5)</f>
        <v>31241082978.641384</v>
      </c>
      <c r="G6" s="18">
        <f>F6*(1+G5)</f>
        <v>32124657118.513123</v>
      </c>
      <c r="H6" s="18">
        <f>G6*(1+H5)</f>
        <v>33006859056.657852</v>
      </c>
      <c r="I6" s="18">
        <f>H6*(1+I5)</f>
        <v>33886202095.193867</v>
      </c>
      <c r="J6" s="18">
        <f>I6*(1+J5)</f>
        <v>34761164526.922424</v>
      </c>
      <c r="K6" s="18">
        <f>J6*(1+K5)</f>
        <v>35630193640.09548</v>
      </c>
    </row>
    <row r="7" spans="1:11" x14ac:dyDescent="0.25">
      <c r="A7" t="s">
        <v>4</v>
      </c>
      <c r="B7" s="9">
        <f>Assumptions!B7</f>
        <v>0.010505407063468322</v>
      </c>
      <c r="C7" s="9">
        <f>Assumptions!B7</f>
        <v>0.010505407063468322</v>
      </c>
      <c r="D7" s="9">
        <f>Assumptions!B7</f>
        <v>0.010505407063468322</v>
      </c>
      <c r="E7" s="9">
        <f>Assumptions!B7</f>
        <v>0.010505407063468322</v>
      </c>
      <c r="F7" s="9">
        <f>Assumptions!B7</f>
        <v>0.010505407063468322</v>
      </c>
      <c r="G7" s="9">
        <f>Assumptions!B7</f>
        <v>0.010505407063468322</v>
      </c>
      <c r="H7" s="9">
        <f>Assumptions!B7</f>
        <v>0.010505407063468322</v>
      </c>
      <c r="I7" s="9">
        <f>Assumptions!B7</f>
        <v>0.010505407063468322</v>
      </c>
      <c r="J7" s="9">
        <f>Assumptions!B7</f>
        <v>0.010505407063468322</v>
      </c>
      <c r="K7" s="9">
        <f>Assumptions!B7</f>
        <v>0.010505407063468322</v>
      </c>
    </row>
    <row r="8" spans="1:11" x14ac:dyDescent="0.25">
      <c r="A8" t="s">
        <v>51</v>
      </c>
      <c r="B8" s="18">
        <f>B6*B7</f>
        <v>291224280.0940195</v>
      </c>
      <c r="C8" s="18">
        <f>C6*C7</f>
        <v>300416741.1328607</v>
      </c>
      <c r="D8" s="18">
        <f>D6*D7</f>
        <v>309652835.96504843</v>
      </c>
      <c r="E8" s="18">
        <f>E6*E7</f>
        <v>318918783.4101468</v>
      </c>
      <c r="F8" s="18">
        <f>F6*F7</f>
        <v>328200293.7942192</v>
      </c>
      <c r="G8" s="18">
        <f>G6*G7</f>
        <v>337482599.8043257</v>
      </c>
      <c r="H8" s="18">
        <f>H6*H7</f>
        <v>346750490.27671677</v>
      </c>
      <c r="I8" s="18">
        <f>I6*I7</f>
        <v>355988346.8449647</v>
      </c>
      <c r="J8" s="18">
        <f>J6*J7</f>
        <v>365180183.3555153</v>
      </c>
      <c r="K8" s="18">
        <f>K6*K7</f>
        <v>374309687.9394032</v>
      </c>
    </row>
    <row r="9" spans="1:11" x14ac:dyDescent="0.25">
      <c r="A9" t="s">
        <v>52</v>
      </c>
      <c r="B9" s="18">
        <f>B8*(1-Assumptions!B8)</f>
        <v>289963568.9247813</v>
      </c>
      <c r="C9" s="18">
        <f>C8*(1-Assumptions!B8)</f>
        <v>299116235.7599912</v>
      </c>
      <c r="D9" s="18">
        <f>D8*(1-Assumptions!B8)</f>
        <v>308312347.49766725</v>
      </c>
      <c r="E9" s="18">
        <f>E8*(1-Assumptions!B8)</f>
        <v>317538182.6161635</v>
      </c>
      <c r="F9" s="18">
        <f>F8*(1-Assumptions!B8)</f>
        <v>326779513.30160356</v>
      </c>
      <c r="G9" s="18">
        <f>G8*(1-Assumptions!B8)</f>
        <v>336021636.1688092</v>
      </c>
      <c r="H9" s="18">
        <f>H8*(1-Assumptions!B8)</f>
        <v>345249405.9032245</v>
      </c>
      <c r="I9" s="18">
        <f>I8*(1-Assumptions!B8)</f>
        <v>354447271.75039774</v>
      </c>
      <c r="J9" s="18">
        <f>J8*(1-Assumptions!B8)</f>
        <v>363599316.7609027</v>
      </c>
      <c r="K9" s="18">
        <f>K8*(1-Assumptions!B8)</f>
        <v>372689299.67992526</v>
      </c>
    </row>
    <row r="10" spans="1:11" x14ac:dyDescent="0.25">
      <c r="A10" t="s">
        <v>53</v>
      </c>
      <c r="B10" s="18">
        <f>B6*Assumptions!B9</f>
        <v>3490861205.183069</v>
      </c>
      <c r="C10" s="18">
        <f>C6*Assumptions!B9</f>
        <v>3601049839.215534</v>
      </c>
      <c r="D10" s="18">
        <f>D6*Assumptions!B9</f>
        <v>3711761504.900369</v>
      </c>
      <c r="E10" s="18">
        <f>E6*Assumptions!B9</f>
        <v>3822831009.32121</v>
      </c>
      <c r="F10" s="18">
        <f>F6*Assumptions!B9</f>
        <v>3934087064.327345</v>
      </c>
      <c r="G10" s="18">
        <f>G6*Assumptions!B9</f>
        <v>4045352656.3818855</v>
      </c>
      <c r="H10" s="18">
        <f>H6*Assumptions!B9</f>
        <v>4156445451.5757165</v>
      </c>
      <c r="I10" s="18">
        <f>I6*Assumptions!B9</f>
        <v>4267178234.923078</v>
      </c>
      <c r="J10" s="18">
        <f>J6*Assumptions!B9</f>
        <v>4377359382.829796</v>
      </c>
      <c r="K10" s="18">
        <f>K6*Assumptions!B9</f>
        <v>4486793367.40054</v>
      </c>
    </row>
    <row r="11" spans="1:11" x14ac:dyDescent="0.25">
      <c r="A11" t="s">
        <v>54</v>
      </c>
      <c r="B11" s="18">
        <f>-B6*B19</f>
        <v>-6088758912.216048</v>
      </c>
      <c r="C11" s="18">
        <f>-C6*C19</f>
        <v>-5991503907.163678</v>
      </c>
      <c r="D11" s="18">
        <f>-D6*D19</f>
        <v>-5877363560.104567</v>
      </c>
      <c r="E11" s="18">
        <f>-E6*E19</f>
        <v>-5745963454.287018</v>
      </c>
      <c r="F11" s="18">
        <f>-F6*F19</f>
        <v>-5596973613.001549</v>
      </c>
      <c r="G11" s="18">
        <f>-G6*G19</f>
        <v>-5430111445.651737</v>
      </c>
      <c r="H11" s="18">
        <f>-H6*H19</f>
        <v>-5245144559.835407</v>
      </c>
      <c r="I11" s="18">
        <f>-I6*I19</f>
        <v>-5041893418.605539</v>
      </c>
      <c r="J11" s="18">
        <f>-J6*J19</f>
        <v>-4820233822.401259</v>
      </c>
      <c r="K11" s="18">
        <f>-K6*K19</f>
        <v>-4580099195.623012</v>
      </c>
    </row>
    <row r="12" spans="1:11" x14ac:dyDescent="0.25">
      <c r="A12" t="s">
        <v>55</v>
      </c>
      <c r="B12" s="18">
        <f>-(B6-Assumptions!B29)*Assumptions!B11</f>
        <v>3421677.5790413856</v>
      </c>
      <c r="C12" s="18">
        <f>-(C6-B6)*Assumptions!B11</f>
        <v>2720940.902804052</v>
      </c>
      <c r="D12" s="18">
        <f>-(D6-C6)*Assumptions!B11</f>
        <v>2733856.37479344</v>
      </c>
      <c r="E12" s="18">
        <f>-(E6-D6)*Assumptions!B11</f>
        <v>2742692.658698364</v>
      </c>
      <c r="F12" s="18">
        <f>-(F6-E6)*Assumptions!B11</f>
        <v>2747299.24196736</v>
      </c>
      <c r="G12" s="18">
        <f>-(G6-F6)*Assumptions!B11</f>
        <v>2747534.7448876733</v>
      </c>
      <c r="H12" s="18">
        <f>-(H6-G6)*Assumptions!B11</f>
        <v>2743267.7889506207</v>
      </c>
      <c r="I12" s="18">
        <f>-(I6-H6)*Assumptions!B11</f>
        <v>2734377.8433845015</v>
      </c>
      <c r="J12" s="18">
        <f>-(J6-I6)*Assumptions!B11</f>
        <v>2720756.0443027327</v>
      </c>
      <c r="K12" s="18">
        <f>-(K6-J6)*Assumptions!B11</f>
        <v>2702305.980920288</v>
      </c>
    </row>
    <row r="13" spans="1:11" x14ac:dyDescent="0.25">
      <c r="A13" s="19" t="s">
        <v>56</v>
      </c>
      <c r="B13" s="20">
        <f>B9+B10+B11+B12</f>
        <v>-2304512460.529156</v>
      </c>
      <c r="C13" s="20">
        <f>C9+C10+C11+C12</f>
        <v>-2088616891.2853487</v>
      </c>
      <c r="D13" s="20">
        <f>D9+D10+D11+D12</f>
        <v>-1854555851.3317366</v>
      </c>
      <c r="E13" s="20">
        <f>E9+E10+E11+E12</f>
        <v>-1602851569.6909463</v>
      </c>
      <c r="F13" s="20">
        <f>F9+F10+F11+F12</f>
        <v>-1333359736.130633</v>
      </c>
      <c r="G13" s="20">
        <f>G9+G10+G11+G12</f>
        <v>-1045989618.356155</v>
      </c>
      <c r="H13" s="20">
        <f>H9+H10+H11+H12</f>
        <v>-740706434.5675157</v>
      </c>
      <c r="I13" s="20">
        <f>I9+I10+I11+I12</f>
        <v>-417533534.0886786</v>
      </c>
      <c r="J13" s="20">
        <f>J9+J10+J11+J12</f>
        <v>-76554366.76625845</v>
      </c>
      <c r="K13" s="20">
        <f>K9+K10+K11+K12</f>
        <v>282085777.43837404</v>
      </c>
    </row>
    <row r="14" spans="1:11" x14ac:dyDescent="0.25">
      <c r="A14" t="s">
        <v>57</v>
      </c>
      <c r="B14" s="21">
        <f>1/(1+Assumptions!$B$26)^(1-0.5*Assumptions!$B$32)</f>
        <v>0.9535246056501002</v>
      </c>
      <c r="C14" s="21">
        <f>1/(1+Assumptions!$B$26)^(2-0.5*Assumptions!$B$32)</f>
        <v>0.8669533186914936</v>
      </c>
      <c r="D14" s="21">
        <f>1/(1+Assumptions!$B$26)^(3-0.5*Assumptions!$B$32)</f>
        <v>0.7882419104200864</v>
      </c>
      <c r="E14" s="21">
        <f>1/(1+Assumptions!$B$26)^(4-0.5*Assumptions!$B$32)</f>
        <v>0.7166767759543082</v>
      </c>
      <c r="F14" s="21">
        <f>1/(1+Assumptions!$B$26)^(5-0.5*Assumptions!$B$32)</f>
        <v>0.6516090991895236</v>
      </c>
      <c r="G14" s="21">
        <f>1/(1+Assumptions!$B$26)^(6-0.5*Assumptions!$B$32)</f>
        <v>0.5924489705714316</v>
      </c>
      <c r="H14" s="21">
        <f>1/(1+Assumptions!$B$26)^(7-0.5*Assumptions!$B$32)</f>
        <v>0.5386600389216791</v>
      </c>
      <c r="I14" s="21">
        <f>1/(1+Assumptions!$B$26)^(8-0.5*Assumptions!$B$32)</f>
        <v>0.48975464882864694</v>
      </c>
      <c r="J14" s="21">
        <f>1/(1+Assumptions!$B$26)^(9-0.5*Assumptions!$B$32)</f>
        <v>0.44528941951854484</v>
      </c>
      <c r="K14" s="21">
        <f>1/(1+Assumptions!$B$26)^(10-0.5*Assumptions!$B$32)</f>
        <v>0.40486122512445377</v>
      </c>
    </row>
    <row r="15" spans="1:11" x14ac:dyDescent="0.25">
      <c r="A15" s="19" t="s">
        <v>58</v>
      </c>
      <c r="B15" s="20">
        <f>B13*B14</f>
        <v>-2197409335.1418056</v>
      </c>
      <c r="C15" s="20">
        <f>C13*C14</f>
        <v>-1810733345.3749435</v>
      </c>
      <c r="D15" s="20">
        <f>D13*D14</f>
        <v>-1461838647.2344778</v>
      </c>
      <c r="E15" s="20">
        <f>E13*E14</f>
        <v>-1148726495.2994096</v>
      </c>
      <c r="F15" s="20">
        <f>F13*F14</f>
        <v>-868829336.5556628</v>
      </c>
      <c r="G15" s="20">
        <f>G13*G14</f>
        <v>-619695472.6235087</v>
      </c>
      <c r="H15" s="20">
        <f>H13*H14</f>
        <v>-398988956.8736762</v>
      </c>
      <c r="I15" s="20">
        <f>I13*I14</f>
        <v>-204488989.36178467</v>
      </c>
      <c r="J15" s="20">
        <f>J13*J14</f>
        <v>-34088849.53895701</v>
      </c>
      <c r="K15" s="20">
        <f>K13*K14</f>
        <v>114205593.44388412</v>
      </c>
    </row>
    <row r="17" spans="1:2" x14ac:dyDescent="0.25">
      <c r="A17" s="22" t="s">
        <v>59</v>
      </c>
      <c r="B17" s="23">
        <f>SUM(B15:K15)</f>
        <v>-8630593834.560343</v>
      </c>
    </row>
    <row r="19" spans="1:11" x14ac:dyDescent="0.25">
      <c r="A19" t="s">
        <v>7</v>
      </c>
      <c r="B19" s="9">
        <f>Assumptions!$B$10+($B$20-Assumptions!$B$10)*0/9</f>
        <v>0.21964133918881906</v>
      </c>
      <c r="C19" s="9">
        <f>Assumptions!$B$10+($B$20-Assumptions!$B$10)*1/9</f>
        <v>0.2095195734756953</v>
      </c>
      <c r="D19" s="9">
        <f>Assumptions!$B$10+($B$20-Assumptions!$B$10)*2/9</f>
        <v>0.19939780776257157</v>
      </c>
      <c r="E19" s="9">
        <f>Assumptions!$B$10+($B$20-Assumptions!$B$10)*3/9</f>
        <v>0.1892760420494478</v>
      </c>
      <c r="F19" s="9">
        <f>Assumptions!$B$10+($B$20-Assumptions!$B$10)*4/9</f>
        <v>0.17915427633632408</v>
      </c>
      <c r="G19" s="9">
        <f>Assumptions!$B$10+($B$20-Assumptions!$B$10)*5/9</f>
        <v>0.16903251062320032</v>
      </c>
      <c r="H19" s="9">
        <f>Assumptions!$B$10+($B$20-Assumptions!$B$10)*6/9</f>
        <v>0.1589107449100766</v>
      </c>
      <c r="I19" s="9">
        <f>Assumptions!$B$10+($B$20-Assumptions!$B$10)*7/9</f>
        <v>0.14878897919695283</v>
      </c>
      <c r="J19" s="9">
        <f>Assumptions!$B$10+($B$20-Assumptions!$B$10)*8/9</f>
        <v>0.1386672134838291</v>
      </c>
      <c r="K19" s="9">
        <f>Assumptions!$B$10+($B$20-Assumptions!$B$10)*9/9</f>
        <v>0.12854544777070534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0.12854544777070534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282085777.43837404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372689299.67992526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0.25035821608670916</v>
      </c>
    </row>
    <row r="7" spans="1:2" x14ac:dyDescent="0.25">
      <c r="A7" t="s">
        <v>66</v>
      </c>
      <c r="B7" s="18">
        <f>-MAX(B5,0)*B6</f>
        <v>-93305828.22247104</v>
      </c>
    </row>
    <row r="8" spans="1:2" x14ac:dyDescent="0.25">
      <c r="A8" t="s">
        <v>67</v>
      </c>
      <c r="B8" s="18">
        <f>IF(OR(Assumptions!$B$33=0,Assumptions!B12&lt;=0),B5,MAX(B5+B7,0))</f>
        <v>279383471.4574542</v>
      </c>
    </row>
    <row r="9" spans="1:2" x14ac:dyDescent="0.25">
      <c r="A9" t="s">
        <v>68</v>
      </c>
      <c r="B9" s="18">
        <f>B8*(1+Assumptions!B12)/(Assumptions!B26-Assumptions!B12)</f>
        <v>3825538957.1213107</v>
      </c>
    </row>
    <row r="10" spans="1:2" x14ac:dyDescent="0.25">
      <c r="A10" t="s">
        <v>69</v>
      </c>
      <c r="B10" s="18">
        <f>B9/(1+Assumptions!B26)^(10-0.5*Assumptions!B32)</f>
        <v>1548812388.9414592</v>
      </c>
    </row>
    <row r="11" spans="1:2" x14ac:dyDescent="0.25">
      <c r="A11" t="s">
        <v>70</v>
      </c>
      <c r="B11" s="18">
        <f>Forecast!B17+B10</f>
        <v>-7081781445.618883</v>
      </c>
    </row>
    <row r="12" spans="1:2" x14ac:dyDescent="0.25">
      <c r="A12" t="s">
        <v>71</v>
      </c>
      <c r="B12" s="18">
        <f>-Assumptions!B30</f>
        <v>-26065000000</v>
      </c>
    </row>
    <row r="13" spans="1:2" x14ac:dyDescent="0.25">
      <c r="A13" t="s">
        <v>72</v>
      </c>
      <c r="B13" s="18">
        <f>B11+B12</f>
        <v>-33146781445.61888</v>
      </c>
    </row>
    <row r="14" spans="1:2" x14ac:dyDescent="0.25">
      <c r="A14" s="19" t="s">
        <v>73</v>
      </c>
      <c r="B14" s="24">
        <f>B13/Assumptions!B31</f>
        <v>-23.64249746477809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4861103055.339944</v>
      </c>
    </row>
    <row r="18" spans="1:2" x14ac:dyDescent="0.25">
      <c r="A18" t="s">
        <v>68</v>
      </c>
      <c r="B18" s="18">
        <f>B17*Assumptions!B13</f>
        <v>43336886983.42618</v>
      </c>
    </row>
    <row r="19" spans="1:2" x14ac:dyDescent="0.25">
      <c r="A19" t="s">
        <v>69</v>
      </c>
      <c r="B19" s="18">
        <f>B18/(1+Assumptions!B26)^(10-0.5*Assumptions!B32)</f>
        <v>17545425157.189915</v>
      </c>
    </row>
    <row r="20" spans="1:2" x14ac:dyDescent="0.25">
      <c r="A20" t="s">
        <v>70</v>
      </c>
      <c r="B20" s="18">
        <f>Forecast!B17+B19</f>
        <v>8914831322.629572</v>
      </c>
    </row>
    <row r="21" spans="1:2" x14ac:dyDescent="0.25">
      <c r="A21" t="s">
        <v>71</v>
      </c>
      <c r="B21" s="18">
        <f>-Assumptions!B30</f>
        <v>-26065000000</v>
      </c>
    </row>
    <row r="22" spans="1:2" x14ac:dyDescent="0.25">
      <c r="A22" t="s">
        <v>72</v>
      </c>
      <c r="B22" s="18">
        <f>B20+B21</f>
        <v>-17150168677.370428</v>
      </c>
    </row>
    <row r="23" spans="1:2" x14ac:dyDescent="0.25">
      <c r="A23" s="19" t="s">
        <v>73</v>
      </c>
      <c r="B23" s="25">
        <f>B22/Assumptions!B31</f>
        <v>-12.23264527629845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28.83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-23.64249746477809</v>
      </c>
    </row>
    <row r="29" spans="1:2" x14ac:dyDescent="0.25">
      <c r="A29" s="19" t="s">
        <v>81</v>
      </c>
      <c r="B29" s="11">
        <f>B28/B26-1</f>
        <v>-1.8200658156357297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0.079857</v>
      </c>
      <c r="B5" s="31">
        <v>-23.282291778081373</v>
      </c>
      <c r="C5" s="31">
        <v>-23.282430532683005</v>
      </c>
      <c r="D5" s="31">
        <v>-23.276857820281602</v>
      </c>
      <c r="E5" s="31">
        <v>-23.263855286282098</v>
      </c>
      <c r="F5" s="31">
        <v>-23.240938428288633</v>
      </c>
    </row>
    <row r="6" spans="1:6" x14ac:dyDescent="0.25">
      <c r="A6" s="30">
        <v>0.089857</v>
      </c>
      <c r="B6" s="31">
        <v>-23.48245587905313</v>
      </c>
      <c r="C6" s="31">
        <v>-23.503362967305865</v>
      </c>
      <c r="D6" s="31">
        <v>-23.52290037887853</v>
      </c>
      <c r="E6" s="31">
        <v>-23.540724876552396</v>
      </c>
      <c r="F6" s="31">
        <v>-23.55636808421354</v>
      </c>
    </row>
    <row r="7" spans="1:6" x14ac:dyDescent="0.25">
      <c r="A7" s="30">
        <v>0.099857</v>
      </c>
      <c r="B7" s="31">
        <v>-23.58772443927846</v>
      </c>
      <c r="C7" s="31">
        <v>-23.615111139531084</v>
      </c>
      <c r="D7" s="32">
        <v>-23.64249783978371</v>
      </c>
      <c r="E7" s="31">
        <v>-23.669884540036335</v>
      </c>
      <c r="F7" s="31">
        <v>-23.69727124028896</v>
      </c>
    </row>
    <row r="8" spans="1:6" x14ac:dyDescent="0.25">
      <c r="A8" s="30">
        <v>0.109857</v>
      </c>
      <c r="B8" s="31">
        <v>-23.62402296310527</v>
      </c>
      <c r="C8" s="31">
        <v>-23.64762754685189</v>
      </c>
      <c r="D8" s="31">
        <v>-23.67123213059851</v>
      </c>
      <c r="E8" s="31">
        <v>-23.69483671434513</v>
      </c>
      <c r="F8" s="31">
        <v>-23.71844129809175</v>
      </c>
    </row>
    <row r="9" spans="1:6" x14ac:dyDescent="0.25">
      <c r="A9" s="30">
        <v>0.119857</v>
      </c>
      <c r="B9" s="31">
        <v>-23.631211788429262</v>
      </c>
      <c r="C9" s="31">
        <v>-23.65174328447805</v>
      </c>
      <c r="D9" s="31">
        <v>-23.67227478052684</v>
      </c>
      <c r="E9" s="31">
        <v>-23.69280627657563</v>
      </c>
      <c r="F9" s="31">
        <v>-23.713337772624413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26621000000</v>
      </c>
      <c r="C5" s="18">
        <v>25021000000</v>
      </c>
      <c r="D5" s="18">
        <v>21593000000</v>
      </c>
      <c r="E5" s="18">
        <v>12169000000</v>
      </c>
      <c r="F5" s="6" t="s">
        <v>91</v>
      </c>
    </row>
    <row r="6" spans="1:6" x14ac:dyDescent="0.25">
      <c r="A6" t="s">
        <v>51</v>
      </c>
      <c r="B6" s="18">
        <v>4482000000</v>
      </c>
      <c r="C6" s="18">
        <v>3574000000</v>
      </c>
      <c r="D6" s="18">
        <v>1956000000</v>
      </c>
      <c r="E6" s="18">
        <v>-4378000000</v>
      </c>
      <c r="F6" s="6" t="s">
        <v>92</v>
      </c>
    </row>
    <row r="7" spans="1:6" x14ac:dyDescent="0.25">
      <c r="A7" t="s">
        <v>93</v>
      </c>
      <c r="B7" s="18">
        <v>2790000000</v>
      </c>
      <c r="C7" s="18">
        <v>2557000000</v>
      </c>
      <c r="D7" s="18">
        <v>2370000000</v>
      </c>
      <c r="E7" s="18">
        <v>2275000000</v>
      </c>
      <c r="F7" s="6" t="s">
        <v>94</v>
      </c>
    </row>
    <row r="8" spans="1:6" x14ac:dyDescent="0.25">
      <c r="A8" t="s">
        <v>95</v>
      </c>
      <c r="B8" s="18">
        <v>3611000000</v>
      </c>
      <c r="C8" s="18">
        <v>4626000000</v>
      </c>
      <c r="D8" s="18">
        <v>3284000000</v>
      </c>
      <c r="E8" s="18">
        <v>4940000000</v>
      </c>
      <c r="F8" s="6" t="s">
        <v>96</v>
      </c>
    </row>
    <row r="9" spans="1:6" x14ac:dyDescent="0.25">
      <c r="A9" t="s">
        <v>97</v>
      </c>
      <c r="B9" s="18">
        <v>145000000</v>
      </c>
      <c r="C9" s="18">
        <v>-960000000</v>
      </c>
      <c r="D9" s="18">
        <v>-1525000000</v>
      </c>
      <c r="E9" s="18">
        <v>-1163000000</v>
      </c>
      <c r="F9" s="6" t="s">
        <v>98</v>
      </c>
    </row>
    <row r="10" spans="1:6" x14ac:dyDescent="0.25">
      <c r="A10" t="s">
        <v>99</v>
      </c>
      <c r="B10" s="18">
        <v>27993000000</v>
      </c>
      <c r="C10" s="18">
        <v>28876000000</v>
      </c>
      <c r="D10" s="18">
        <v>31891000000</v>
      </c>
      <c r="E10" s="18">
        <v>35881000000</v>
      </c>
      <c r="F10" s="6" t="s">
        <v>100</v>
      </c>
    </row>
    <row r="11" spans="1:6" x14ac:dyDescent="0.25">
      <c r="A11" t="s">
        <v>101</v>
      </c>
      <c r="B11" s="18">
        <v>1928000000</v>
      </c>
      <c r="C11" s="18">
        <v>1210000000</v>
      </c>
      <c r="D11" s="18">
        <v>2415000000</v>
      </c>
      <c r="E11" s="18">
        <v>4029000000</v>
      </c>
      <c r="F11" s="6" t="s">
        <v>102</v>
      </c>
    </row>
    <row r="12" spans="1:6" x14ac:dyDescent="0.25">
      <c r="A12" t="s">
        <v>34</v>
      </c>
      <c r="B12" s="34">
        <v>1402000000</v>
      </c>
      <c r="C12" s="34">
        <v>1398000000</v>
      </c>
      <c r="D12" s="34">
        <v>1262000000</v>
      </c>
      <c r="E12" s="34">
        <v>1180000000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