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<sst xmlns="http://schemas.openxmlformats.org/spreadsheetml/2006/main" count="112" uniqueCount="100">
  <si>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CCL Industries Inc. (CCL-B.TO)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</si>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</sst>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0.06289717060609745</v>
      </c>
    </row>
    <row r="7" spans="1:2" x14ac:dyDescent="0.25">
      <c r="A7" t="s">
        <v>5</v>
      </c>
      <c r="B7" s="6">
        <v>0.14319997254555916</v>
      </c>
    </row>
    <row r="8" spans="1:2" x14ac:dyDescent="0.25">
      <c r="A8" t="s">
        <v>6</v>
      </c>
      <c r="B8" s="6">
        <v>0.24264049502941773</v>
      </c>
    </row>
    <row r="9" spans="1:2" x14ac:dyDescent="0.25">
      <c r="A9" t="s">
        <v>7</v>
      </c>
      <c r="B9" s="6">
        <v>0.05956776959886346</v>
      </c>
    </row>
    <row r="10" spans="1:2" x14ac:dyDescent="0.25">
      <c r="A10" t="s">
        <v>8</v>
      </c>
      <c r="B10" s="6">
        <v>0.06520626478885747</v>
      </c>
    </row>
    <row r="11" spans="1:2" x14ac:dyDescent="0.25">
      <c r="A11" t="s">
        <v>9</v>
      </c>
      <c r="B11" s="6">
        <v>0.09835452505609574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10.457515074268105</v>
      </c>
    </row>
    <row r="14" spans="1:3" x14ac:dyDescent="0.25">
      <c r="A14" t="s">
        <v>12</v>
      </c>
      <c r="B14" s="6">
        <v>0.10614459527510559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0.7614799999999999</v>
      </c>
      <c r="C19" s="8" t="s">
        <v>19</v>
      </c>
    </row>
    <row r="20" spans="1:2" x14ac:dyDescent="0.25">
      <c r="A20" t="s">
        <v>20</v>
      </c>
      <c r="B20" s="10">
        <f>B17+B19*B18</f>
        <v>0.0748814</v>
      </c>
    </row>
    <row r="21" spans="1:3" x14ac:dyDescent="0.25">
      <c r="A21" t="s">
        <v>21</v>
      </c>
      <c r="B21" s="6">
        <v>0.047240749394621695</v>
      </c>
      <c r="C21" s="8" t="s">
        <v>22</v>
      </c>
    </row>
    <row r="22" spans="1:2" x14ac:dyDescent="0.25">
      <c r="A22" t="s">
        <v>23</v>
      </c>
      <c r="B22" s="11">
        <v>15697118208</v>
      </c>
    </row>
    <row r="23" spans="1:2" x14ac:dyDescent="0.25">
      <c r="A23" t="s">
        <v>24</v>
      </c>
      <c r="B23" s="11">
        <v>2260200000</v>
      </c>
    </row>
    <row r="24" spans="1:2" x14ac:dyDescent="0.25">
      <c r="A24" t="s">
        <v>25</v>
      </c>
      <c r="B24" s="10">
        <f>B22/(B22+B23)</f>
        <v>0.8741348806196975</v>
      </c>
    </row>
    <row r="25" spans="1:2" x14ac:dyDescent="0.25">
      <c r="A25" t="s">
        <v>26</v>
      </c>
      <c r="B25" s="10">
        <f>1-B24</f>
        <v>0.12586511938030254</v>
      </c>
    </row>
    <row r="26" spans="1:2" x14ac:dyDescent="0.25">
      <c r="A26" t="s">
        <v>27</v>
      </c>
      <c r="B26" s="12">
        <f>B24*B20+B25*B21*(1-B8)</f>
        <v>0.06995967491229375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7663800000</v>
      </c>
      <c r="C29" s="8" t="s">
        <v>30</v>
      </c>
    </row>
    <row r="30" spans="1:2" x14ac:dyDescent="0.25">
      <c r="A30" t="s">
        <v>31</v>
      </c>
      <c r="B30" s="11">
        <v>1270200000</v>
      </c>
    </row>
    <row r="31" spans="1:2" x14ac:dyDescent="0.25">
      <c r="A31" t="s">
        <v>32</v>
      </c>
      <c r="B31" s="13">
        <v>175700000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0.06289717060609745</v>
      </c>
      <c r="C5" s="10">
        <f>Assumptions!B6</f>
        <v>0.06289717060609745</v>
      </c>
      <c r="D5" s="10">
        <f>Assumptions!B6</f>
        <v>0.06289717060609745</v>
      </c>
      <c r="E5" s="10">
        <f>Assumptions!B6</f>
        <v>0.06289717060609745</v>
      </c>
      <c r="F5" s="10">
        <f>Assumptions!B6</f>
        <v>0.06289717060609745</v>
      </c>
    </row>
    <row r="6" spans="1:6" x14ac:dyDescent="0.25">
      <c r="A6" t="s">
        <v>43</v>
      </c>
      <c r="B6" s="18">
        <f>Assumptions!B29*(1+B5)</f>
        <v>8145831336.09101</v>
      </c>
      <c r="C6" s="18">
        <f>B6*(1+C5)</f>
        <v>8658181079.365622</v>
      </c>
      <c r="D6" s="18">
        <f>C6*(1+D5)</f>
        <v>9202756171.852966</v>
      </c>
      <c r="E6" s="18">
        <f>D6*(1+E5)</f>
        <v>9781583496.840319</v>
      </c>
      <c r="F6" s="18">
        <f>E6*(1+F5)</f>
        <v>10396817422.838871</v>
      </c>
    </row>
    <row r="7" spans="1:6" x14ac:dyDescent="0.25">
      <c r="A7" t="s">
        <v>5</v>
      </c>
      <c r="B7" s="10">
        <f>Assumptions!B7</f>
        <v>0.14319997254555916</v>
      </c>
      <c r="C7" s="10">
        <f>Assumptions!B7</f>
        <v>0.14319997254555916</v>
      </c>
      <c r="D7" s="10">
        <f>Assumptions!B7</f>
        <v>0.14319997254555916</v>
      </c>
      <c r="E7" s="10">
        <f>Assumptions!B7</f>
        <v>0.14319997254555916</v>
      </c>
      <c r="F7" s="10">
        <f>Assumptions!B7</f>
        <v>0.14319997254555916</v>
      </c>
    </row>
    <row r="8" spans="1:6" x14ac:dyDescent="0.25">
      <c r="A8" t="s">
        <v>44</v>
      </c>
      <c r="B8" s="18">
        <f>B6*B7</f>
        <v>1166482823.6889882</v>
      </c>
      <c r="C8" s="18">
        <f>C6*C7</f>
        <v>1239851292.8596368</v>
      </c>
      <c r="D8" s="18">
        <f>D6*D7</f>
        <v>1317834431.1528199</v>
      </c>
      <c r="E8" s="18">
        <f>E6*E7</f>
        <v>1400722488.199628</v>
      </c>
      <c r="F8" s="18">
        <f>F6*F7</f>
        <v>1488823969.5117176</v>
      </c>
    </row>
    <row r="9" spans="1:6" x14ac:dyDescent="0.25">
      <c r="A9" t="s">
        <v>45</v>
      </c>
      <c r="B9" s="18">
        <f>B8*(1-Assumptions!B8)</f>
        <v>883446853.9057791</v>
      </c>
      <c r="C9" s="18">
        <f>C8*(1-Assumptions!B8)</f>
        <v>939013161.3973109</v>
      </c>
      <c r="D9" s="18">
        <f>D8*(1-Assumptions!B8)</f>
        <v>998074432.4110885</v>
      </c>
      <c r="E9" s="18">
        <f>E8*(1-Assumptions!B8)</f>
        <v>1060850490.2640326</v>
      </c>
      <c r="F9" s="18">
        <f>F8*(1-Assumptions!B8)</f>
        <v>1127574984.5377316</v>
      </c>
    </row>
    <row r="10" spans="1:6" x14ac:dyDescent="0.25">
      <c r="A10" t="s">
        <v>46</v>
      </c>
      <c r="B10" s="18">
        <f>B6*Assumptions!B9</f>
        <v>485229004.2194714</v>
      </c>
      <c r="C10" s="18">
        <f>C6*Assumptions!B9</f>
        <v>515748535.68089026</v>
      </c>
      <c r="D10" s="18">
        <f>D6*Assumptions!B9</f>
        <v>548187659.3194562</v>
      </c>
      <c r="E10" s="18">
        <f>E6*Assumptions!B9</f>
        <v>582667112.0518292</v>
      </c>
      <c r="F10" s="18">
        <f>F6*Assumptions!B9</f>
        <v>619315224.8051152</v>
      </c>
    </row>
    <row r="11" spans="1:6" x14ac:dyDescent="0.25">
      <c r="A11" t="s">
        <v>47</v>
      </c>
      <c r="B11" s="18">
        <f>-B6*Assumptions!B10</f>
        <v>-531159235.026523</v>
      </c>
      <c r="C11" s="18">
        <f>-C6*Assumptions!B10</f>
        <v>-564567648.0509905</v>
      </c>
      <c r="D11" s="18">
        <f>-D6*Assumptions!B10</f>
        <v>-600077355.7291368</v>
      </c>
      <c r="E11" s="18">
        <f>-E6*Assumptions!B10</f>
        <v>-637820523.5492882</v>
      </c>
      <c r="F11" s="18">
        <f>-F6*Assumptions!B10</f>
        <v>-677937629.8350381</v>
      </c>
    </row>
    <row r="12" spans="1:6" x14ac:dyDescent="0.25">
      <c r="A12" t="s">
        <v>48</v>
      </c>
      <c r="B12" s="18">
        <f>-(B6-Assumptions!B29)*Assumptions!B11</f>
        <v>-47409963.123386554</v>
      </c>
      <c r="C12" s="18">
        <f>-(C6-B6)*Assumptions!B11</f>
        <v>-50391915.66238699</v>
      </c>
      <c r="D12" s="18">
        <f>-(D6-C6)*Assumptions!B11</f>
        <v>-53561424.578972206</v>
      </c>
      <c r="E12" s="18">
        <f>-(E6-D6)*Assumptions!B11</f>
        <v>-56930286.63862142</v>
      </c>
      <c r="F12" s="18">
        <f>-(F6-E6)*Assumptions!B11</f>
        <v>-60511040.58998477</v>
      </c>
    </row>
    <row r="13" spans="1:6" x14ac:dyDescent="0.25">
      <c r="A13" s="19" t="s">
        <v>49</v>
      </c>
      <c r="B13" s="20">
        <f>B9+B10+B11+B12</f>
        <v>790106659.9753411</v>
      </c>
      <c r="C13" s="20">
        <f>C9+C10+C11+C12</f>
        <v>839802133.3648236</v>
      </c>
      <c r="D13" s="20">
        <f>D9+D10+D11+D12</f>
        <v>892623311.4224355</v>
      </c>
      <c r="E13" s="20">
        <f>E9+E10+E11+E12</f>
        <v>948766792.1279521</v>
      </c>
      <c r="F13" s="20">
        <f>F9+F10+F11+F12</f>
        <v>1008441538.917824</v>
      </c>
    </row>
    <row r="14" spans="1:6" x14ac:dyDescent="0.25">
      <c r="A14" t="s">
        <v>50</v>
      </c>
      <c r="B14" s="21">
        <f>1/(1+Assumptions!$B$26)^(1-0.5*Assumptions!$B$32)</f>
        <v>0.9667547062585743</v>
      </c>
      <c r="C14" s="21">
        <f>1/(1+Assumptions!$B$26)^(2-0.5*Assumptions!$B$32)</f>
        <v>0.9035431230974389</v>
      </c>
      <c r="D14" s="21">
        <f>1/(1+Assumptions!$B$26)^(3-0.5*Assumptions!$B$32)</f>
        <v>0.8444646506621887</v>
      </c>
      <c r="E14" s="21">
        <f>1/(1+Assumptions!$B$26)^(4-0.5*Assumptions!$B$32)</f>
        <v>0.7892490441113219</v>
      </c>
      <c r="F14" s="21">
        <f>1/(1+Assumptions!$B$26)^(5-0.5*Assumptions!$B$32)</f>
        <v>0.7376437286536224</v>
      </c>
    </row>
    <row r="15" spans="1:6" x14ac:dyDescent="0.25">
      <c r="A15" s="19" t="s">
        <v>51</v>
      </c>
      <c r="B15" s="20">
        <f>B13*B14</f>
        <v>763839331.9774041</v>
      </c>
      <c r="C15" s="20">
        <f>C13*C14</f>
        <v>758797442.3643446</v>
      </c>
      <c r="D15" s="20">
        <f>D13*D14</f>
        <v>753788832.853273</v>
      </c>
      <c r="E15" s="20">
        <f>E13*E14</f>
        <v>748813283.7715515</v>
      </c>
      <c r="F15" s="20">
        <f>F13*F14</f>
        <v>743870576.8965408</v>
      </c>
    </row>
    <row r="17" spans="1:2" x14ac:dyDescent="0.25">
      <c r="A17" s="22" t="s">
        <v>52</v>
      </c>
      <c r="B17" s="23">
        <f>SUM(B15:F15)</f>
        <v>3769109467.863114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1008441538.917824</v>
      </c>
    </row>
    <row r="5" spans="1:2" x14ac:dyDescent="0.25">
      <c r="A5" t="s">
        <v>56</v>
      </c>
      <c r="B5" s="18">
        <f>IF(Assumptions!$B$33=0,B4,B4-Forecast!F11-Forecast!F10-Forecast!F12)</f>
        <v>1207688016.2894137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0.23552777167038036</v>
      </c>
    </row>
    <row r="7" spans="1:2" x14ac:dyDescent="0.25">
      <c r="A7" t="s">
        <v>58</v>
      </c>
      <c r="B7" s="18">
        <f>-MAX(Forecast!F9,0)*B6</f>
        <v>-284444067.3496676</v>
      </c>
    </row>
    <row r="8" spans="1:2" x14ac:dyDescent="0.25">
      <c r="A8" t="s">
        <v>59</v>
      </c>
      <c r="B8" s="18">
        <f>IF(OR(Assumptions!$B$33=0,Assumptions!B12&lt;=0),B5,MAX(B5+B7,0))</f>
        <v>923243948.9397461</v>
      </c>
    </row>
    <row r="9" spans="1:2" x14ac:dyDescent="0.25">
      <c r="A9" t="s">
        <v>60</v>
      </c>
      <c r="B9" s="18">
        <f>B8*(1+Assumptions!B12)/(Assumptions!B26-Assumptions!B12)</f>
        <v>21048307166.57333</v>
      </c>
    </row>
    <row r="10" spans="1:2" x14ac:dyDescent="0.25">
      <c r="A10" t="s">
        <v>61</v>
      </c>
      <c r="B10" s="18">
        <f>B9/(1+Assumptions!B26)^(5-0.5*Assumptions!B32)</f>
        <v>15526151780.197912</v>
      </c>
    </row>
    <row r="11" spans="1:2" x14ac:dyDescent="0.25">
      <c r="A11" t="s">
        <v>62</v>
      </c>
      <c r="B11" s="18">
        <f>Forecast!B17+B10</f>
        <v>19295261248.061028</v>
      </c>
    </row>
    <row r="12" spans="1:2" x14ac:dyDescent="0.25">
      <c r="A12" t="s">
        <v>63</v>
      </c>
      <c r="B12" s="18">
        <f>-Assumptions!B30</f>
        <v>-1270200000</v>
      </c>
    </row>
    <row r="13" spans="1:2" x14ac:dyDescent="0.25">
      <c r="A13" t="s">
        <v>64</v>
      </c>
      <c r="B13" s="18">
        <f>B11+B12</f>
        <v>18025061248.061028</v>
      </c>
    </row>
    <row r="14" spans="1:2" x14ac:dyDescent="0.25">
      <c r="A14" s="19" t="s">
        <v>65</v>
      </c>
      <c r="B14" s="24">
        <f>B13/Assumptions!B31</f>
        <v>102.58999002880493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2108139194.3168328</v>
      </c>
    </row>
    <row r="18" spans="1:2" x14ac:dyDescent="0.25">
      <c r="A18" t="s">
        <v>60</v>
      </c>
      <c r="B18" s="18">
        <f>B17*Assumptions!B13</f>
        <v>22045897403.223698</v>
      </c>
    </row>
    <row r="19" spans="1:2" x14ac:dyDescent="0.25">
      <c r="A19" t="s">
        <v>61</v>
      </c>
      <c r="B19" s="18">
        <f>B18/(1+Assumptions!B26)^(5-0.5*Assumptions!B32)</f>
        <v>16262017962.029139</v>
      </c>
    </row>
    <row r="20" spans="1:2" x14ac:dyDescent="0.25">
      <c r="A20" t="s">
        <v>62</v>
      </c>
      <c r="B20" s="18">
        <f>Forecast!B17+B19</f>
        <v>20031127429.892254</v>
      </c>
    </row>
    <row r="21" spans="1:2" x14ac:dyDescent="0.25">
      <c r="A21" t="s">
        <v>63</v>
      </c>
      <c r="B21" s="18">
        <f>-Assumptions!B30</f>
        <v>-1270200000</v>
      </c>
    </row>
    <row r="22" spans="1:2" x14ac:dyDescent="0.25">
      <c r="A22" t="s">
        <v>64</v>
      </c>
      <c r="B22" s="18">
        <f>B20+B21</f>
        <v>18760927429.892254</v>
      </c>
    </row>
    <row r="23" spans="1:2" x14ac:dyDescent="0.25">
      <c r="A23" s="19" t="s">
        <v>65</v>
      </c>
      <c r="B23" s="25">
        <f>B22/Assumptions!B31</f>
        <v>106.7781868519764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92.85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102.58999002880493</v>
      </c>
    </row>
    <row r="29" spans="1:2" x14ac:dyDescent="0.25">
      <c r="A29" s="19" t="s">
        <v>73</v>
      </c>
      <c r="B29" s="12">
        <f>B28/B26-1</f>
        <v>0.10490026956171183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0.04996</v>
      </c>
      <c r="B5" s="31">
        <v>152.8658588566351</v>
      </c>
      <c r="C5" s="31">
        <v>167.76968539960703</v>
      </c>
      <c r="D5" s="31">
        <v>188.5404285793272</v>
      </c>
      <c r="E5" s="31">
        <v>219.58709388433405</v>
      </c>
      <c r="F5" s="31">
        <v>271.21307916752187</v>
      </c>
    </row>
    <row r="6" spans="1:6" x14ac:dyDescent="0.25">
      <c r="A6" s="30">
        <v>0.05996</v>
      </c>
      <c r="B6" s="31">
        <v>117.26183988106834</v>
      </c>
      <c r="C6" s="31">
        <v>124.29969582759773</v>
      </c>
      <c r="D6" s="31">
        <v>133.279402683094</v>
      </c>
      <c r="E6" s="31">
        <v>145.17318219770758</v>
      </c>
      <c r="F6" s="31">
        <v>161.73227995985016</v>
      </c>
    </row>
    <row r="7" spans="1:6" x14ac:dyDescent="0.25">
      <c r="A7" s="30">
        <v>0.06996</v>
      </c>
      <c r="B7" s="31">
        <v>94.62727123657609</v>
      </c>
      <c r="C7" s="31">
        <v>98.23372956963011</v>
      </c>
      <c r="D7" s="32">
        <v>102.58921405279317</v>
      </c>
      <c r="E7" s="31">
        <v>107.97489065832848</v>
      </c>
      <c r="F7" s="31">
        <v>114.83277545704789</v>
      </c>
    </row>
    <row r="8" spans="1:6" x14ac:dyDescent="0.25">
      <c r="A8" s="30">
        <v>0.07996</v>
      </c>
      <c r="B8" s="31">
        <v>78.97196038854018</v>
      </c>
      <c r="C8" s="31">
        <v>80.86390665391914</v>
      </c>
      <c r="D8" s="31">
        <v>83.05841867257156</v>
      </c>
      <c r="E8" s="31">
        <v>85.64633884439942</v>
      </c>
      <c r="F8" s="31">
        <v>88.7589198895458</v>
      </c>
    </row>
    <row r="9" spans="1:6" x14ac:dyDescent="0.25">
      <c r="A9" s="30">
        <v>0.08996</v>
      </c>
      <c r="B9" s="31">
        <v>67.50222109795362</v>
      </c>
      <c r="C9" s="31">
        <v>68.46112400426846</v>
      </c>
      <c r="D9" s="31">
        <v>69.5338144227303</v>
      </c>
      <c r="E9" s="31">
        <v>70.74875820861283</v>
      </c>
      <c r="F9" s="31">
        <v>72.14477997092817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7663800000</v>
      </c>
      <c r="C5" s="18">
        <v>7245000000</v>
      </c>
      <c r="D5" s="18">
        <v>6649600000</v>
      </c>
      <c r="E5" s="18">
        <v>6382200000</v>
      </c>
      <c r="F5" s="8" t="s">
        <v>84</v>
      </c>
    </row>
    <row r="6" spans="1:6" x14ac:dyDescent="0.25">
      <c r="A6" t="s">
        <v>44</v>
      </c>
      <c r="B6" s="18">
        <v>1157300000</v>
      </c>
      <c r="C6" s="18">
        <v>1064700000</v>
      </c>
      <c r="D6" s="18">
        <v>928800000</v>
      </c>
      <c r="E6" s="18">
        <v>862600000</v>
      </c>
      <c r="F6" s="8" t="s">
        <v>85</v>
      </c>
    </row>
    <row r="7" spans="1:6" x14ac:dyDescent="0.25">
      <c r="A7" t="s">
        <v>86</v>
      </c>
      <c r="B7" s="18">
        <v>465200000</v>
      </c>
      <c r="C7" s="18">
        <v>432400000</v>
      </c>
      <c r="D7" s="18">
        <v>403300000</v>
      </c>
      <c r="E7" s="18">
        <v>365300000</v>
      </c>
      <c r="F7" s="8" t="s">
        <v>87</v>
      </c>
    </row>
    <row r="8" spans="1:6" x14ac:dyDescent="0.25">
      <c r="A8" t="s">
        <v>88</v>
      </c>
      <c r="B8" s="18">
        <v>441200000</v>
      </c>
      <c r="C8" s="18">
        <v>462000000</v>
      </c>
      <c r="D8" s="18">
        <v>461600000</v>
      </c>
      <c r="E8" s="18">
        <v>447200000</v>
      </c>
      <c r="F8" s="8" t="s">
        <v>89</v>
      </c>
    </row>
    <row r="9" spans="1:6" x14ac:dyDescent="0.25">
      <c r="A9" t="s">
        <v>90</v>
      </c>
      <c r="B9" s="18">
        <v>700000</v>
      </c>
      <c r="C9" s="18">
        <v>143500000</v>
      </c>
      <c r="D9" s="18">
        <v>26300000</v>
      </c>
      <c r="E9" s="18">
        <v>-9000000</v>
      </c>
      <c r="F9" s="8" t="s">
        <v>91</v>
      </c>
    </row>
    <row r="10" spans="1:6" x14ac:dyDescent="0.25">
      <c r="A10" t="s">
        <v>92</v>
      </c>
      <c r="B10" s="18">
        <v>2260200000</v>
      </c>
      <c r="C10" s="18">
        <v>2447600000</v>
      </c>
      <c r="D10" s="18">
        <v>2282400000</v>
      </c>
      <c r="E10" s="18">
        <v>2361800000</v>
      </c>
      <c r="F10" s="8" t="s">
        <v>93</v>
      </c>
    </row>
    <row r="11" spans="1:6" x14ac:dyDescent="0.25">
      <c r="A11" t="s">
        <v>94</v>
      </c>
      <c r="B11" s="18">
        <v>990000000</v>
      </c>
      <c r="C11" s="18">
        <v>820600000</v>
      </c>
      <c r="D11" s="18">
        <v>765100000</v>
      </c>
      <c r="E11" s="18">
        <v>831500000</v>
      </c>
      <c r="F11" s="8" t="s">
        <v>95</v>
      </c>
    </row>
    <row r="12" spans="1:6" x14ac:dyDescent="0.25">
      <c r="A12" t="s">
        <v>32</v>
      </c>
      <c r="B12" s="34">
        <v>175700000</v>
      </c>
      <c r="C12" s="34">
        <v>179382979</v>
      </c>
      <c r="D12" s="34">
        <v>179900000</v>
      </c>
      <c r="E12" s="34">
        <v>179200000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2026-09-19T01:06:06Z</dcterms:modified>
</cp:coreProperties>
</file>