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<sst xmlns="http://schemas.openxmlformats.org/spreadsheetml/2006/main" count="113" uniqueCount="101">
  <si>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Cameco Corporation (CCO.TO)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</si>
  <si>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</si>
  <si>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</si>
  <si>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</si>
  <si>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</si>
  <si>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</si>
  <si>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</si>
  <si>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</si>
  <si>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</si>
  <si>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</si>
  <si>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</si>
  <si>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</si>
  <si>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</si>
  <si>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</si>
  <si>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</si>
  <si>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</si>
  <si>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</si>
  <si>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</si>
  <si>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</si>
  <si>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</si>
  <si>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</si>
  <si>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</si>
  <si>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</si>
  <si>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</si>
  <si>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</si>
  <si>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</si>
  <si>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</si>
  <si>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</si>
  <si>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</si>
  <si>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</si>
  <si>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</si>
  <si>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</si>
  <si>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</si>
  <si>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</si>
  <si>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</si>
  <si>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</si>
  <si>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</si>
  <si>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</si>
  <si>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</si>
  <si>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</si>
  <si>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</si>
  <si>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</si>
  <si>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</si>
  <si>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</si>
  <si>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</si>
  <si>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</si>
  <si>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</si>
  <si>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</si>
  <si>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</si>
  <si>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</si>
  <si>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</si>
  <si>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</si>
  <si>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</si>
  <si>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</si>
  <si>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</si>
  <si>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</si>
  <si>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</si>
  <si>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</si>
  <si>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</si>
  <si>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</si>
  <si>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</si>
  <si>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</si>
  <si>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</si>
  <si>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</si>
  <si>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</si>
  <si>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</si>
  <si>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</si>
  <si>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</si>
  <si>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</si>
  <si>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</si>
  <si>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</si>
  <si>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</si>
  <si>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</si>
  <si>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</si>
  <si>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</si>
  <si>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</si>
  <si>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</si>
  <si>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</si>
  <si>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</si>
  <si>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</si>
  <si>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</si>
  <si>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</si>
  <si>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</si>
  <si>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</si>
  <si>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</si>
  <si>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</si>
  <si>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</si>
  <si>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</si>
  <si>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</si>
  <si>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</si>
  <si>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</si>
  <si>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</si>
  <si>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</si>
  <si>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</si>
  <si>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</si>
  <si>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</si>
  <si>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</si>
  <si>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</si>
  <si>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</si>
  <si>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Current EV/EBITDA of 60.8x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</si>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</sst>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0.23068700139731124</v>
      </c>
    </row>
    <row r="7" spans="1:2" x14ac:dyDescent="0.25">
      <c r="A7" t="s">
        <v>5</v>
      </c>
      <c r="B7" s="6">
        <v>0.11497923198630472</v>
      </c>
    </row>
    <row r="8" spans="1:2" x14ac:dyDescent="0.25">
      <c r="A8" t="s">
        <v>6</v>
      </c>
      <c r="B8" s="6">
        <v>0.2593374155552773</v>
      </c>
    </row>
    <row r="9" spans="1:2" x14ac:dyDescent="0.25">
      <c r="A9" t="s">
        <v>7</v>
      </c>
      <c r="B9" s="6">
        <v>0.08844687357648057</v>
      </c>
    </row>
    <row r="10" spans="1:2" x14ac:dyDescent="0.25">
      <c r="A10" t="s">
        <v>8</v>
      </c>
      <c r="B10" s="6">
        <v>0.07482370449367852</v>
      </c>
    </row>
    <row r="11" spans="1:2" x14ac:dyDescent="0.25">
      <c r="A11" t="s">
        <v>9</v>
      </c>
      <c r="B11" s="6">
        <v>0.02110530022955618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0.08798271932647728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1.00804</v>
      </c>
      <c r="C19" s="8" t="s">
        <v>19</v>
      </c>
    </row>
    <row r="20" spans="1:2" x14ac:dyDescent="0.25">
      <c r="A20" t="s">
        <v>20</v>
      </c>
      <c r="B20" s="10">
        <f>B17+B19*B18</f>
        <v>0.0884422</v>
      </c>
    </row>
    <row r="21" spans="1:3" x14ac:dyDescent="0.25">
      <c r="A21" t="s">
        <v>21</v>
      </c>
      <c r="B21" s="6">
        <v>0.0840511090875723</v>
      </c>
      <c r="C21" s="8" t="s">
        <v>22</v>
      </c>
    </row>
    <row r="22" spans="1:2" x14ac:dyDescent="0.25">
      <c r="A22" t="s">
        <v>23</v>
      </c>
      <c r="B22" s="11">
        <v>55791779840</v>
      </c>
    </row>
    <row r="23" spans="1:2" x14ac:dyDescent="0.25">
      <c r="A23" t="s">
        <v>24</v>
      </c>
      <c r="B23" s="11">
        <v>996348000</v>
      </c>
    </row>
    <row r="24" spans="1:2" x14ac:dyDescent="0.25">
      <c r="A24" t="s">
        <v>25</v>
      </c>
      <c r="B24" s="10">
        <f>B22/(B22+B23)</f>
        <v>0.9824549947692024</v>
      </c>
    </row>
    <row r="25" spans="1:2" x14ac:dyDescent="0.25">
      <c r="A25" t="s">
        <v>26</v>
      </c>
      <c r="B25" s="10">
        <f>1-B24</f>
        <v>0.017545005230797606</v>
      </c>
    </row>
    <row r="26" spans="1:2" x14ac:dyDescent="0.25">
      <c r="A26" t="s">
        <v>27</v>
      </c>
      <c r="B26" s="12">
        <f>B24*B20+B25*B21*(1-B8)</f>
        <v>0.08798271932647728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3481933000</v>
      </c>
      <c r="C29" s="8" t="s">
        <v>30</v>
      </c>
    </row>
    <row r="30" spans="1:2" x14ac:dyDescent="0.25">
      <c r="A30" t="s">
        <v>31</v>
      </c>
      <c r="B30" s="11">
        <v>-218115000</v>
      </c>
    </row>
    <row r="31" spans="1:2" x14ac:dyDescent="0.25">
      <c r="A31" t="s">
        <v>32</v>
      </c>
      <c r="B31" s="13">
        <v>435580000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0.23068700139731124</v>
      </c>
      <c r="C5" s="10">
        <f>Assumptions!B6</f>
        <v>0.23068700139731124</v>
      </c>
      <c r="D5" s="10">
        <f>Assumptions!B6</f>
        <v>0.23068700139731124</v>
      </c>
      <c r="E5" s="10">
        <f>Assumptions!B6</f>
        <v>0.23068700139731124</v>
      </c>
      <c r="F5" s="10">
        <f>Assumptions!B6</f>
        <v>0.23068700139731124</v>
      </c>
    </row>
    <row r="6" spans="1:6" x14ac:dyDescent="0.25">
      <c r="A6" t="s">
        <v>43</v>
      </c>
      <c r="B6" s="18">
        <f>Assumptions!B29*(1+B5)</f>
        <v>4285169682.8363442</v>
      </c>
      <c r="C6" s="18">
        <f>B6*(1+C5)</f>
        <v>5273702627.448527</v>
      </c>
      <c r="D6" s="18">
        <f>C6*(1+D5)</f>
        <v>6490277272.83575</v>
      </c>
      <c r="E6" s="18">
        <f>D6*(1+E5)</f>
        <v>7987499875.143348</v>
      </c>
      <c r="F6" s="18">
        <f>E6*(1+F5)</f>
        <v>9830112270.001564</v>
      </c>
    </row>
    <row r="7" spans="1:6" x14ac:dyDescent="0.25">
      <c r="A7" t="s">
        <v>5</v>
      </c>
      <c r="B7" s="10">
        <f>Assumptions!B7</f>
        <v>0.11497923198630472</v>
      </c>
      <c r="C7" s="10">
        <f>Assumptions!B7</f>
        <v>0.11497923198630472</v>
      </c>
      <c r="D7" s="10">
        <f>Assumptions!B7</f>
        <v>0.11497923198630472</v>
      </c>
      <c r="E7" s="10">
        <f>Assumptions!B7</f>
        <v>0.11497923198630472</v>
      </c>
      <c r="F7" s="10">
        <f>Assumptions!B7</f>
        <v>0.11497923198630472</v>
      </c>
    </row>
    <row r="8" spans="1:6" x14ac:dyDescent="0.25">
      <c r="A8" t="s">
        <v>44</v>
      </c>
      <c r="B8" s="18">
        <f>B6*B7</f>
        <v>492705519.06351984</v>
      </c>
      <c r="C8" s="18">
        <f>C6*C7</f>
        <v>606366277.828189</v>
      </c>
      <c r="D8" s="18">
        <f>D6*D7</f>
        <v>746247096.2088228</v>
      </c>
      <c r="E8" s="18">
        <f>E6*E7</f>
        <v>918396601.134687</v>
      </c>
      <c r="F8" s="18">
        <f>F6*F7</f>
        <v>1130258759.1439304</v>
      </c>
    </row>
    <row r="9" spans="1:6" x14ac:dyDescent="0.25">
      <c r="A9" t="s">
        <v>45</v>
      </c>
      <c r="B9" s="18">
        <f>B8*(1-Assumptions!B8)</f>
        <v>364928543.1197652</v>
      </c>
      <c r="C9" s="18">
        <f>C8*(1-Assumptions!B8)</f>
        <v>449112814.45635325</v>
      </c>
      <c r="D9" s="18">
        <f>D8*(1-Assumptions!B8)</f>
        <v>552717302.9123964</v>
      </c>
      <c r="E9" s="18">
        <f>E8*(1-Assumptions!B8)</f>
        <v>680222000.1416664</v>
      </c>
      <c r="F9" s="18">
        <f>F8*(1-Assumptions!B8)</f>
        <v>837140373.638829</v>
      </c>
    </row>
    <row r="10" spans="1:6" x14ac:dyDescent="0.25">
      <c r="A10" t="s">
        <v>46</v>
      </c>
      <c r="B10" s="18">
        <f>B6*Assumptions!B9</f>
        <v>379009861.19159347</v>
      </c>
      <c r="C10" s="18">
        <f>C6*Assumptions!B9</f>
        <v>466442509.5698933</v>
      </c>
      <c r="D10" s="18">
        <f>D6*Assumptions!B9</f>
        <v>574044733.4268086</v>
      </c>
      <c r="E10" s="18">
        <f>E6*Assumptions!B9</f>
        <v>706469391.648958</v>
      </c>
      <c r="F10" s="18">
        <f>F6*Assumptions!B9</f>
        <v>869442697.1874387</v>
      </c>
    </row>
    <row r="11" spans="1:6" x14ac:dyDescent="0.25">
      <c r="A11" t="s">
        <v>47</v>
      </c>
      <c r="B11" s="18">
        <f>-B6*Assumptions!B10</f>
        <v>-320632270.05381674</v>
      </c>
      <c r="C11" s="18">
        <f>-C6*Assumptions!B10</f>
        <v>-394597966.98374456</v>
      </c>
      <c r="D11" s="18">
        <f>-D6*Assumptions!B10</f>
        <v>-485626588.74469984</v>
      </c>
      <c r="E11" s="18">
        <f>-E6*Assumptions!B10</f>
        <v>-597654330.3010199</v>
      </c>
      <c r="F11" s="18">
        <f>-F6*Assumptions!B10</f>
        <v>-735525415.6302804</v>
      </c>
    </row>
    <row r="12" spans="1:6" x14ac:dyDescent="0.25">
      <c r="A12" t="s">
        <v>48</v>
      </c>
      <c r="B12" s="18">
        <f>-(B6-Assumptions!B29)*Assumptions!B11</f>
        <v>-16952551.34665384</v>
      </c>
      <c r="C12" s="18">
        <f>-(C6-B6)*Assumptions!B11</f>
        <v>-20863284.582847353</v>
      </c>
      <c r="D12" s="18">
        <f>-(D6-C6)*Assumptions!B11</f>
        <v>-25676173.14256317</v>
      </c>
      <c r="E12" s="18">
        <f>-(E6-D6)*Assumptions!B11</f>
        <v>-31599332.53217925</v>
      </c>
      <c r="F12" s="18">
        <f>-(F6-E6)*Assumptions!B11</f>
        <v>-38888887.800184175</v>
      </c>
    </row>
    <row r="13" spans="1:6" x14ac:dyDescent="0.25">
      <c r="A13" s="19" t="s">
        <v>49</v>
      </c>
      <c r="B13" s="20">
        <f>B9+B10+B11+B12</f>
        <v>406353582.91088814</v>
      </c>
      <c r="C13" s="20">
        <f>C9+C10+C11+C12</f>
        <v>500094072.4596546</v>
      </c>
      <c r="D13" s="20">
        <f>D9+D10+D11+D12</f>
        <v>615459274.451942</v>
      </c>
      <c r="E13" s="20">
        <f>E9+E10+E11+E12</f>
        <v>757437728.9574252</v>
      </c>
      <c r="F13" s="20">
        <f>F9+F10+F11+F12</f>
        <v>932168767.3958032</v>
      </c>
    </row>
    <row r="14" spans="1:6" x14ac:dyDescent="0.25">
      <c r="A14" t="s">
        <v>50</v>
      </c>
      <c r="B14" s="21">
        <f>1/(1+Assumptions!$B$26)^(1-0.5*Assumptions!$B$32)</f>
        <v>0.9587138497020545</v>
      </c>
      <c r="C14" s="21">
        <f>1/(1+Assumptions!$B$26)^(2-0.5*Assumptions!$B$32)</f>
        <v>0.881184813574569</v>
      </c>
      <c r="D14" s="21">
        <f>1/(1+Assumptions!$B$26)^(3-0.5*Assumptions!$B$32)</f>
        <v>0.809925376498693</v>
      </c>
      <c r="E14" s="21">
        <f>1/(1+Assumptions!$B$26)^(4-0.5*Assumptions!$B$32)</f>
        <v>0.7444285300782006</v>
      </c>
      <c r="F14" s="21">
        <f>1/(1+Assumptions!$B$26)^(5-0.5*Assumptions!$B$32)</f>
        <v>0.6842282665473253</v>
      </c>
    </row>
    <row r="15" spans="1:6" x14ac:dyDescent="0.25">
      <c r="A15" s="19" t="s">
        <v>51</v>
      </c>
      <c r="B15" s="20">
        <f>B13*B14</f>
        <v>389576807.81272054</v>
      </c>
      <c r="C15" s="20">
        <f>C13*C14</f>
        <v>440675302.01010776</v>
      </c>
      <c r="D15" s="20">
        <f>D13*D14</f>
        <v>498476084.58010155</v>
      </c>
      <c r="E15" s="20">
        <f>E13*E14</f>
        <v>563858255.1935467</v>
      </c>
      <c r="F15" s="20">
        <f>F13*F14</f>
        <v>637816219.8447872</v>
      </c>
    </row>
    <row r="17" spans="1:2" x14ac:dyDescent="0.25">
      <c r="A17" s="22" t="s">
        <v>52</v>
      </c>
      <c r="B17" s="23">
        <f>SUM(B15:F15)</f>
        <v>2530402669.4412637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932168767.3958032</v>
      </c>
    </row>
    <row r="5" spans="1:2" x14ac:dyDescent="0.25">
      <c r="A5" t="s">
        <v>56</v>
      </c>
      <c r="B5" s="18">
        <f>IF(Assumptions!$B$33=0,B4,B4-Forecast!F11-Forecast!F10-Forecast!F12)</f>
        <v>837140373.638829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0.28414670734638875</v>
      </c>
    </row>
    <row r="7" spans="1:2" x14ac:dyDescent="0.25">
      <c r="A7" t="s">
        <v>58</v>
      </c>
      <c r="B7" s="18">
        <f>-MAX(Forecast!F9,0)*B6</f>
        <v>-237870680.75619888</v>
      </c>
    </row>
    <row r="8" spans="1:2" x14ac:dyDescent="0.25">
      <c r="A8" t="s">
        <v>59</v>
      </c>
      <c r="B8" s="18">
        <f>IF(OR(Assumptions!$B$33=0,Assumptions!B12&lt;=0),B5,MAX(B5+B7,0))</f>
        <v>599269692.8826301</v>
      </c>
    </row>
    <row r="9" spans="1:2" x14ac:dyDescent="0.25">
      <c r="A9" t="s">
        <v>60</v>
      </c>
      <c r="B9" s="18">
        <f>B8*(1+Assumptions!B12)/(Assumptions!B26-Assumptions!B12)</f>
        <v>9752697911.004152</v>
      </c>
    </row>
    <row r="10" spans="1:2" x14ac:dyDescent="0.25">
      <c r="A10" t="s">
        <v>61</v>
      </c>
      <c r="B10" s="18">
        <f>B9/(1+Assumptions!B26)^(5-0.5*Assumptions!B32)</f>
        <v>6673071585.806091</v>
      </c>
    </row>
    <row r="11" spans="1:2" x14ac:dyDescent="0.25">
      <c r="A11" t="s">
        <v>62</v>
      </c>
      <c r="B11" s="18">
        <f>Forecast!B17+B10</f>
        <v>9203474255.247355</v>
      </c>
    </row>
    <row r="12" spans="1:2" x14ac:dyDescent="0.25">
      <c r="A12" t="s">
        <v>63</v>
      </c>
      <c r="B12" s="18">
        <f>-Assumptions!B30</f>
        <v>218115000</v>
      </c>
    </row>
    <row r="13" spans="1:2" x14ac:dyDescent="0.25">
      <c r="A13" t="s">
        <v>64</v>
      </c>
      <c r="B13" s="18">
        <f>B11+B12</f>
        <v>9421589255.247355</v>
      </c>
    </row>
    <row r="14" spans="1:2" x14ac:dyDescent="0.25">
      <c r="A14" s="19" t="s">
        <v>65</v>
      </c>
      <c r="B14" s="24">
        <f>B13/Assumptions!B31</f>
        <v>21.62998589294126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1999701456.3313692</v>
      </c>
    </row>
    <row r="18" spans="1:2" x14ac:dyDescent="0.25">
      <c r="A18" t="s">
        <v>60</v>
      </c>
      <c r="B18" s="18">
        <f>B17*Assumptions!B13</f>
        <v>39994029126.62738</v>
      </c>
    </row>
    <row r="19" spans="1:2" x14ac:dyDescent="0.25">
      <c r="A19" t="s">
        <v>61</v>
      </c>
      <c r="B19" s="18">
        <f>B18/(1+Assumptions!B26)^(5-0.5*Assumptions!B32)</f>
        <v>27365045221.55549</v>
      </c>
    </row>
    <row r="20" spans="1:2" x14ac:dyDescent="0.25">
      <c r="A20" t="s">
        <v>62</v>
      </c>
      <c r="B20" s="18">
        <f>Forecast!B17+B19</f>
        <v>29895447890.996754</v>
      </c>
    </row>
    <row r="21" spans="1:2" x14ac:dyDescent="0.25">
      <c r="A21" t="s">
        <v>63</v>
      </c>
      <c r="B21" s="18">
        <f>-Assumptions!B30</f>
        <v>218115000</v>
      </c>
    </row>
    <row r="22" spans="1:2" x14ac:dyDescent="0.25">
      <c r="A22" t="s">
        <v>64</v>
      </c>
      <c r="B22" s="18">
        <f>B20+B21</f>
        <v>30113562890.996754</v>
      </c>
    </row>
    <row r="23" spans="1:2" x14ac:dyDescent="0.25">
      <c r="A23" s="19" t="s">
        <v>65</v>
      </c>
      <c r="B23" s="25">
        <f>B22/Assumptions!B31</f>
        <v>69.13440215573891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128.1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21.62998589294126</v>
      </c>
    </row>
    <row r="29" spans="1:2" x14ac:dyDescent="0.25">
      <c r="A29" s="19" t="s">
        <v>73</v>
      </c>
      <c r="B29" s="12">
        <f>B28/B26-1</f>
        <v>-0.8311476511089675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0.067983</v>
      </c>
      <c r="B5" s="31">
        <v>27.95864286162468</v>
      </c>
      <c r="C5" s="31">
        <v>28.063781054284924</v>
      </c>
      <c r="D5" s="31">
        <v>28.168919246945162</v>
      </c>
      <c r="E5" s="31">
        <v>28.2740574396054</v>
      </c>
      <c r="F5" s="31">
        <v>28.379195632265645</v>
      </c>
    </row>
    <row r="6" spans="1:6" x14ac:dyDescent="0.25">
      <c r="A6" s="30">
        <v>0.077983</v>
      </c>
      <c r="B6" s="31">
        <v>24.30160605943148</v>
      </c>
      <c r="C6" s="31">
        <v>24.389497547798538</v>
      </c>
      <c r="D6" s="31">
        <v>24.477389036165594</v>
      </c>
      <c r="E6" s="31">
        <v>24.565280524532646</v>
      </c>
      <c r="F6" s="31">
        <v>24.653172012899695</v>
      </c>
    </row>
    <row r="7" spans="1:6" x14ac:dyDescent="0.25">
      <c r="A7" s="30">
        <v>0.087983</v>
      </c>
      <c r="B7" s="31">
        <v>21.480452672063883</v>
      </c>
      <c r="C7" s="31">
        <v>21.555183897281196</v>
      </c>
      <c r="D7" s="32">
        <v>21.629915122498502</v>
      </c>
      <c r="E7" s="31">
        <v>21.704646347715812</v>
      </c>
      <c r="F7" s="31">
        <v>21.779377572933125</v>
      </c>
    </row>
    <row r="8" spans="1:6" x14ac:dyDescent="0.25">
      <c r="A8" s="30">
        <v>0.097983</v>
      </c>
      <c r="B8" s="31">
        <v>19.239105866924266</v>
      </c>
      <c r="C8" s="31">
        <v>19.303503418701375</v>
      </c>
      <c r="D8" s="31">
        <v>19.367900970478487</v>
      </c>
      <c r="E8" s="31">
        <v>19.4322985222556</v>
      </c>
      <c r="F8" s="31">
        <v>19.496696074032705</v>
      </c>
    </row>
    <row r="9" spans="1:6" x14ac:dyDescent="0.25">
      <c r="A9" s="30">
        <v>0.107983</v>
      </c>
      <c r="B9" s="31">
        <v>17.41635251652443</v>
      </c>
      <c r="C9" s="31">
        <v>17.472450343168074</v>
      </c>
      <c r="D9" s="31">
        <v>17.52854816981171</v>
      </c>
      <c r="E9" s="31">
        <v>17.584645996455357</v>
      </c>
      <c r="F9" s="31">
        <v>17.640743823098997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3481933000</v>
      </c>
      <c r="C5" s="18">
        <v>3135772000</v>
      </c>
      <c r="D5" s="18">
        <v>2587758000</v>
      </c>
      <c r="E5" s="18">
        <v>1868003000</v>
      </c>
      <c r="F5" s="8" t="s">
        <v>84</v>
      </c>
    </row>
    <row r="6" spans="1:6" x14ac:dyDescent="0.25">
      <c r="A6" t="s">
        <v>44</v>
      </c>
      <c r="B6" s="18">
        <v>621259000</v>
      </c>
      <c r="C6" s="18">
        <v>511156000</v>
      </c>
      <c r="D6" s="18">
        <v>285049000</v>
      </c>
      <c r="E6" s="18">
        <v>15565000</v>
      </c>
      <c r="F6" s="8" t="s">
        <v>85</v>
      </c>
    </row>
    <row r="7" spans="1:6" x14ac:dyDescent="0.25">
      <c r="A7" t="s">
        <v>86</v>
      </c>
      <c r="B7" s="18">
        <v>293094000</v>
      </c>
      <c r="C7" s="18">
        <v>280702000</v>
      </c>
      <c r="D7" s="18">
        <v>220324000</v>
      </c>
      <c r="E7" s="18">
        <v>177376000</v>
      </c>
      <c r="F7" s="8" t="s">
        <v>87</v>
      </c>
    </row>
    <row r="8" spans="1:6" x14ac:dyDescent="0.25">
      <c r="A8" t="s">
        <v>88</v>
      </c>
      <c r="B8" s="18">
        <v>333025000</v>
      </c>
      <c r="C8" s="18">
        <v>211635000</v>
      </c>
      <c r="D8" s="18">
        <v>153631000</v>
      </c>
      <c r="E8" s="18">
        <v>143448000</v>
      </c>
      <c r="F8" s="8" t="s">
        <v>89</v>
      </c>
    </row>
    <row r="9" spans="1:6" x14ac:dyDescent="0.25">
      <c r="A9" t="s">
        <v>90</v>
      </c>
      <c r="B9" s="18">
        <v>-237035000</v>
      </c>
      <c r="C9" s="18">
        <v>11566000</v>
      </c>
      <c r="D9" s="18">
        <v>26568000</v>
      </c>
      <c r="E9" s="18">
        <v>110356000</v>
      </c>
      <c r="F9" s="8" t="s">
        <v>91</v>
      </c>
    </row>
    <row r="10" spans="1:6" x14ac:dyDescent="0.25">
      <c r="A10" t="s">
        <v>92</v>
      </c>
      <c r="B10" s="18">
        <v>996348000</v>
      </c>
      <c r="C10" s="18">
        <v>1281290000</v>
      </c>
      <c r="D10" s="18">
        <v>1784174000</v>
      </c>
      <c r="E10" s="18">
        <v>997000000</v>
      </c>
      <c r="F10" s="8" t="s">
        <v>93</v>
      </c>
    </row>
    <row r="11" spans="1:6" x14ac:dyDescent="0.25">
      <c r="A11" t="s">
        <v>94</v>
      </c>
      <c r="B11" s="18">
        <v>1214463000</v>
      </c>
      <c r="C11" s="18">
        <v>600462000</v>
      </c>
      <c r="D11" s="18">
        <v>566809000</v>
      </c>
      <c r="E11" s="18">
        <v>2281848000</v>
      </c>
      <c r="F11" s="8" t="s">
        <v>95</v>
      </c>
    </row>
    <row r="12" spans="1:6" x14ac:dyDescent="0.25">
      <c r="A12" t="s">
        <v>32</v>
      </c>
      <c r="B12" s="34">
        <v>435580000</v>
      </c>
      <c r="C12" s="34">
        <v>435956000</v>
      </c>
      <c r="D12" s="34">
        <v>435355000</v>
      </c>
      <c r="E12" s="34">
        <v>407135000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2026-09-19T01:04:53Z</dcterms:modified>
</cp:coreProperties>
</file>