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<sst xmlns="http://schemas.openxmlformats.org/spreadsheetml/2006/main" count="113" uniqueCount="101">
  <si>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Codan Limited (CDA.AX)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</si>
  <si>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</si>
  <si>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</si>
  <si>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</si>
  <si>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</si>
  <si>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</si>
  <si>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</si>
  <si>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</si>
  <si>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</si>
  <si>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</si>
  <si>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</si>
  <si>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</si>
  <si>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</si>
  <si>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</si>
  <si>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</si>
  <si>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</si>
  <si>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</si>
  <si>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</si>
  <si>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</si>
  <si>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</si>
  <si>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</si>
  <si>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</si>
  <si>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</si>
  <si>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</si>
  <si>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</si>
  <si>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</si>
  <si>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</si>
  <si>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</si>
  <si>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</si>
  <si>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</si>
  <si>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</si>
  <si>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</si>
  <si>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</si>
  <si>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</si>
  <si>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</si>
  <si>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</si>
  <si>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</si>
  <si>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</si>
  <si>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</si>
  <si>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</si>
  <si>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</si>
  <si>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</si>
  <si>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</si>
  <si>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</si>
  <si>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</si>
  <si>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</si>
  <si>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</si>
  <si>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</si>
  <si>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</si>
  <si>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</si>
  <si>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</si>
  <si>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</si>
  <si>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</si>
  <si>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</si>
  <si>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</si>
  <si>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</si>
  <si>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</si>
  <si>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</si>
  <si>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</si>
  <si>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</si>
  <si>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</si>
  <si>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</si>
  <si>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</si>
  <si>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</si>
  <si>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</si>
  <si>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</si>
  <si>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</si>
  <si>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</si>
  <si>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</si>
  <si>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</si>
  <si>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</si>
  <si>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</si>
  <si>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</si>
  <si>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</si>
  <si>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</si>
  <si>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</si>
  <si>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</si>
  <si>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</si>
  <si>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</si>
  <si>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2025-06-30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</si>
  <si>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</si>
  <si>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</si>
  <si>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</si>
  <si>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</si>
  <si>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</si>
  <si>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</si>
  <si>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</si>
  <si>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</si>
  <si>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</si>
  <si>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</si>
  <si>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</si>
  <si>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</si>
  <si>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</si>
  <si>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</si>
  <si>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</si>
  <si>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</si>
  <si>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</si>
  <si>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</si>
  <si>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</si>
  <si>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Current EV/EBITDA of 63.1x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</si>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</sst>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0.10029764062850788</v>
      </c>
    </row>
    <row r="7" spans="1:2" x14ac:dyDescent="0.25">
      <c r="A7" t="s">
        <v>5</v>
      </c>
      <c r="B7" s="6">
        <v>0.16778656864206914</v>
      </c>
    </row>
    <row r="8" spans="1:2" x14ac:dyDescent="0.25">
      <c r="A8" t="s">
        <v>6</v>
      </c>
      <c r="B8" s="6">
        <v>0.22451132082081104</v>
      </c>
    </row>
    <row r="9" spans="1:2" x14ac:dyDescent="0.25">
      <c r="A9" t="s">
        <v>7</v>
      </c>
      <c r="B9" s="6">
        <v>0.05697916901609103</v>
      </c>
    </row>
    <row r="10" spans="1:2" x14ac:dyDescent="0.25">
      <c r="A10" t="s">
        <v>8</v>
      </c>
      <c r="B10" s="6">
        <v>0.06007559829494799</v>
      </c>
    </row>
    <row r="11" spans="1:2" x14ac:dyDescent="0.25">
      <c r="A11" t="s">
        <v>9</v>
      </c>
      <c r="B11" s="6">
        <v>0.060261088827653714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0.12830588831061962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1.2679999999999998</v>
      </c>
      <c r="C19" s="8" t="s">
        <v>19</v>
      </c>
    </row>
    <row r="20" spans="1:2" x14ac:dyDescent="0.25">
      <c r="A20" t="s">
        <v>20</v>
      </c>
      <c r="B20" s="10">
        <f>B17+B19*B18</f>
        <v>0.12955999999999998</v>
      </c>
    </row>
    <row r="21" spans="1:3" x14ac:dyDescent="0.25">
      <c r="A21" t="s">
        <v>21</v>
      </c>
      <c r="B21" s="6">
        <v>0.07354978096771841</v>
      </c>
      <c r="C21" s="8" t="s">
        <v>22</v>
      </c>
    </row>
    <row r="22" spans="1:2" x14ac:dyDescent="0.25">
      <c r="A22" t="s">
        <v>23</v>
      </c>
      <c r="B22" s="11">
        <v>9134331904</v>
      </c>
    </row>
    <row r="23" spans="1:2" x14ac:dyDescent="0.25">
      <c r="A23" t="s">
        <v>24</v>
      </c>
      <c r="B23" s="11">
        <v>160736000</v>
      </c>
    </row>
    <row r="24" spans="1:2" x14ac:dyDescent="0.25">
      <c r="A24" t="s">
        <v>25</v>
      </c>
      <c r="B24" s="10">
        <f>B22/(B22+B23)</f>
        <v>0.9827073882988171</v>
      </c>
    </row>
    <row r="25" spans="1:2" x14ac:dyDescent="0.25">
      <c r="A25" t="s">
        <v>26</v>
      </c>
      <c r="B25" s="10">
        <f>1-B24</f>
        <v>0.017292611701182903</v>
      </c>
    </row>
    <row r="26" spans="1:2" x14ac:dyDescent="0.25">
      <c r="A26" t="s">
        <v>27</v>
      </c>
      <c r="B26" s="12">
        <f>B24*B20+B25*B21*(1-B8)</f>
        <v>0.12830588831061962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674226000</v>
      </c>
      <c r="C29" s="8" t="s">
        <v>30</v>
      </c>
    </row>
    <row r="30" spans="1:2" x14ac:dyDescent="0.25">
      <c r="A30" t="s">
        <v>31</v>
      </c>
      <c r="B30" s="11">
        <v>121005000</v>
      </c>
    </row>
    <row r="31" spans="1:2" x14ac:dyDescent="0.25">
      <c r="A31" t="s">
        <v>32</v>
      </c>
      <c r="B31" s="13">
        <v>182205986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0.10029764062850788</v>
      </c>
      <c r="C5" s="10">
        <f>Assumptions!B6</f>
        <v>0.10029764062850788</v>
      </c>
      <c r="D5" s="10">
        <f>Assumptions!B6</f>
        <v>0.10029764062850788</v>
      </c>
      <c r="E5" s="10">
        <f>Assumptions!B6</f>
        <v>0.10029764062850788</v>
      </c>
      <c r="F5" s="10">
        <f>Assumptions!B6</f>
        <v>0.10029764062850788</v>
      </c>
    </row>
    <row r="6" spans="1:6" x14ac:dyDescent="0.25">
      <c r="A6" t="s">
        <v>43</v>
      </c>
      <c r="B6" s="18">
        <f>Assumptions!B29*(1+B5)</f>
        <v>741849277.0503963</v>
      </c>
      <c r="C6" s="18">
        <f>B6*(1+C5)</f>
        <v>816255009.2405154</v>
      </c>
      <c r="D6" s="18">
        <f>C6*(1+D5)</f>
        <v>898123460.81854</v>
      </c>
      <c r="E6" s="18">
        <f>D6*(1+E5)</f>
        <v>988203124.9317497</v>
      </c>
      <c r="F6" s="18">
        <f>E6*(1+F5)</f>
        <v>1087317566.824123</v>
      </c>
    </row>
    <row r="7" spans="1:6" x14ac:dyDescent="0.25">
      <c r="A7" t="s">
        <v>5</v>
      </c>
      <c r="B7" s="10">
        <f>Assumptions!B7</f>
        <v>0.16778656864206914</v>
      </c>
      <c r="C7" s="10">
        <f>Assumptions!B7</f>
        <v>0.16778656864206914</v>
      </c>
      <c r="D7" s="10">
        <f>Assumptions!B7</f>
        <v>0.16778656864206914</v>
      </c>
      <c r="E7" s="10">
        <f>Assumptions!B7</f>
        <v>0.16778656864206914</v>
      </c>
      <c r="F7" s="10">
        <f>Assumptions!B7</f>
        <v>0.16778656864206914</v>
      </c>
    </row>
    <row r="8" spans="1:6" x14ac:dyDescent="0.25">
      <c r="A8" t="s">
        <v>44</v>
      </c>
      <c r="B8" s="18">
        <f>B6*B7</f>
        <v>124472344.64588569</v>
      </c>
      <c r="C8" s="18">
        <f>C6*C7</f>
        <v>136956627.1373665</v>
      </c>
      <c r="D8" s="18">
        <f>D6*D7</f>
        <v>150693053.70768267</v>
      </c>
      <c r="E8" s="18">
        <f>E6*E7</f>
        <v>165807211.45366827</v>
      </c>
      <c r="F8" s="18">
        <f>F6*F7</f>
        <v>182437283.5616633</v>
      </c>
    </row>
    <row r="9" spans="1:6" x14ac:dyDescent="0.25">
      <c r="A9" t="s">
        <v>45</v>
      </c>
      <c r="B9" s="18">
        <f>B8*(1-Assumptions!B8)</f>
        <v>96526894.14377469</v>
      </c>
      <c r="C9" s="18">
        <f>C8*(1-Assumptions!B8)</f>
        <v>106208313.88359302</v>
      </c>
      <c r="D9" s="18">
        <f>D8*(1-Assumptions!B8)</f>
        <v>116860757.18124941</v>
      </c>
      <c r="E9" s="18">
        <f>E8*(1-Assumptions!B8)</f>
        <v>128581615.40858969</v>
      </c>
      <c r="F9" s="18">
        <f>F8*(1-Assumptions!B8)</f>
        <v>141478048.06227344</v>
      </c>
    </row>
    <row r="10" spans="1:6" x14ac:dyDescent="0.25">
      <c r="A10" t="s">
        <v>46</v>
      </c>
      <c r="B10" s="18">
        <f>B6*Assumptions!B9</f>
        <v>42269955.34151947</v>
      </c>
      <c r="C10" s="18">
        <f>C6*Assumptions!B9</f>
        <v>46509532.13174627</v>
      </c>
      <c r="D10" s="18">
        <f>D6*Assumptions!B9</f>
        <v>51174328.4712962</v>
      </c>
      <c r="E10" s="18">
        <f>E6*Assumptions!B9</f>
        <v>56306992.87771548</v>
      </c>
      <c r="F10" s="18">
        <f>F6*Assumptions!B9</f>
        <v>61954451.414236546</v>
      </c>
    </row>
    <row r="11" spans="1:6" x14ac:dyDescent="0.25">
      <c r="A11" t="s">
        <v>47</v>
      </c>
      <c r="B11" s="18">
        <f>-B6*Assumptions!B10</f>
        <v>-44567039.16347719</v>
      </c>
      <c r="C11" s="18">
        <f>-C6*Assumptions!B10</f>
        <v>-49037008.04137226</v>
      </c>
      <c r="D11" s="18">
        <f>-D6*Assumptions!B10</f>
        <v>-53955304.25140307</v>
      </c>
      <c r="E11" s="18">
        <f>-E6*Assumptions!B10</f>
        <v>-59366893.967212096</v>
      </c>
      <c r="F11" s="18">
        <f>-F6*Assumptions!B10</f>
        <v>-65321253.36356628</v>
      </c>
    </row>
    <row r="12" spans="1:6" x14ac:dyDescent="0.25">
      <c r="A12" t="s">
        <v>48</v>
      </c>
      <c r="B12" s="18">
        <f>-(B6-Assumptions!B29)*Assumptions!B11</f>
        <v>-4075052.30515097</v>
      </c>
      <c r="C12" s="18">
        <f>-(C6-B6)*Assumptions!B11</f>
        <v>-4483770.436795376</v>
      </c>
      <c r="D12" s="18">
        <f>-(D6-C6)*Assumptions!B11</f>
        <v>-4933482.032725809</v>
      </c>
      <c r="E12" s="18">
        <f>-(E6-D6)*Assumptions!B11</f>
        <v>-5428298.640691342</v>
      </c>
      <c r="F12" s="18">
        <f>-(F6-E6)*Assumptions!B11</f>
        <v>-5972744.186979624</v>
      </c>
    </row>
    <row r="13" spans="1:6" x14ac:dyDescent="0.25">
      <c r="A13" s="19" t="s">
        <v>49</v>
      </c>
      <c r="B13" s="20">
        <f>B9+B10+B11+B12</f>
        <v>90154758.01666601</v>
      </c>
      <c r="C13" s="20">
        <f>C9+C10+C11+C12</f>
        <v>99197067.53717163</v>
      </c>
      <c r="D13" s="20">
        <f>D9+D10+D11+D12</f>
        <v>109146299.36841673</v>
      </c>
      <c r="E13" s="20">
        <f>E9+E10+E11+E12</f>
        <v>120093415.67840175</v>
      </c>
      <c r="F13" s="20">
        <f>F9+F10+F11+F12</f>
        <v>132138501.92596409</v>
      </c>
    </row>
    <row r="14" spans="1:6" x14ac:dyDescent="0.25">
      <c r="A14" t="s">
        <v>50</v>
      </c>
      <c r="B14" s="21">
        <f>1/(1+Assumptions!$B$26)^(1-0.5*Assumptions!$B$32)</f>
        <v>0.9414268331706181</v>
      </c>
      <c r="C14" s="21">
        <f>1/(1+Assumptions!$B$26)^(2-0.5*Assumptions!$B$32)</f>
        <v>0.834371993378666</v>
      </c>
      <c r="D14" s="21">
        <f>1/(1+Assumptions!$B$26)^(3-0.5*Assumptions!$B$32)</f>
        <v>0.7394909501251894</v>
      </c>
      <c r="E14" s="21">
        <f>1/(1+Assumptions!$B$26)^(4-0.5*Assumptions!$B$32)</f>
        <v>0.6553993538333902</v>
      </c>
      <c r="F14" s="21">
        <f>1/(1+Assumptions!$B$26)^(5-0.5*Assumptions!$B$32)</f>
        <v>0.5808702769553928</v>
      </c>
    </row>
    <row r="15" spans="1:6" x14ac:dyDescent="0.25">
      <c r="A15" s="19" t="s">
        <v>51</v>
      </c>
      <c r="B15" s="20">
        <f>B13*B14</f>
        <v>84874108.33489329</v>
      </c>
      <c r="C15" s="20">
        <f>C13*C14</f>
        <v>82767254.97830805</v>
      </c>
      <c r="D15" s="20">
        <f>D13*D14</f>
        <v>80712700.62259884</v>
      </c>
      <c r="E15" s="20">
        <f>E13*E14</f>
        <v>78709147.03526925</v>
      </c>
      <c r="F15" s="20">
        <f>F13*F14</f>
        <v>76755328.21020547</v>
      </c>
    </row>
    <row r="17" spans="1:2" x14ac:dyDescent="0.25">
      <c r="A17" s="22" t="s">
        <v>52</v>
      </c>
      <c r="B17" s="23">
        <f>SUM(B15:F15)</f>
        <v>403818539.1812749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132138501.92596409</v>
      </c>
    </row>
    <row r="5" spans="1:2" x14ac:dyDescent="0.25">
      <c r="A5" t="s">
        <v>56</v>
      </c>
      <c r="B5" s="18">
        <f>IF(Assumptions!$B$33=0,B4,B4-Forecast!F11-Forecast!F10-Forecast!F12)</f>
        <v>141478048.06227344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0.19484686423336037</v>
      </c>
    </row>
    <row r="7" spans="1:2" x14ac:dyDescent="0.25">
      <c r="A7" t="s">
        <v>58</v>
      </c>
      <c r="B7" s="18">
        <f>-MAX(Forecast!F9,0)*B6</f>
        <v>-27566554.022790626</v>
      </c>
    </row>
    <row r="8" spans="1:2" x14ac:dyDescent="0.25">
      <c r="A8" t="s">
        <v>59</v>
      </c>
      <c r="B8" s="18">
        <f>IF(OR(Assumptions!$B$33=0,Assumptions!B12&lt;=0),B5,MAX(B5+B7,0))</f>
        <v>113911494.03948282</v>
      </c>
    </row>
    <row r="9" spans="1:2" x14ac:dyDescent="0.25">
      <c r="A9" t="s">
        <v>60</v>
      </c>
      <c r="B9" s="18">
        <f>B8*(1+Assumptions!B12)/(Assumptions!B26-Assumptions!B12)</f>
        <v>1130228714.9344156</v>
      </c>
    </row>
    <row r="10" spans="1:2" x14ac:dyDescent="0.25">
      <c r="A10" t="s">
        <v>61</v>
      </c>
      <c r="B10" s="18">
        <f>B9/(1+Assumptions!B26)^(5-0.5*Assumptions!B32)</f>
        <v>656516266.6668917</v>
      </c>
    </row>
    <row r="11" spans="1:2" x14ac:dyDescent="0.25">
      <c r="A11" t="s">
        <v>62</v>
      </c>
      <c r="B11" s="18">
        <f>Forecast!B17+B10</f>
        <v>1060334805.8481666</v>
      </c>
    </row>
    <row r="12" spans="1:2" x14ac:dyDescent="0.25">
      <c r="A12" t="s">
        <v>63</v>
      </c>
      <c r="B12" s="18">
        <f>-Assumptions!B30</f>
        <v>-121005000</v>
      </c>
    </row>
    <row r="13" spans="1:2" x14ac:dyDescent="0.25">
      <c r="A13" t="s">
        <v>64</v>
      </c>
      <c r="B13" s="18">
        <f>B11+B12</f>
        <v>939329805.8481666</v>
      </c>
    </row>
    <row r="14" spans="1:2" x14ac:dyDescent="0.25">
      <c r="A14" s="19" t="s">
        <v>65</v>
      </c>
      <c r="B14" s="24">
        <f>B13/Assumptions!B31</f>
        <v>5.155318035754141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244391734.97589985</v>
      </c>
    </row>
    <row r="18" spans="1:2" x14ac:dyDescent="0.25">
      <c r="A18" t="s">
        <v>60</v>
      </c>
      <c r="B18" s="18">
        <f>B17*Assumptions!B13</f>
        <v>4887834699.517997</v>
      </c>
    </row>
    <row r="19" spans="1:2" x14ac:dyDescent="0.25">
      <c r="A19" t="s">
        <v>61</v>
      </c>
      <c r="B19" s="18">
        <f>B18/(1+Assumptions!B26)^(5-0.5*Assumptions!B32)</f>
        <v>2839197895.621198</v>
      </c>
    </row>
    <row r="20" spans="1:2" x14ac:dyDescent="0.25">
      <c r="A20" t="s">
        <v>62</v>
      </c>
      <c r="B20" s="18">
        <f>Forecast!B17+B19</f>
        <v>3243016434.802473</v>
      </c>
    </row>
    <row r="21" spans="1:2" x14ac:dyDescent="0.25">
      <c r="A21" t="s">
        <v>63</v>
      </c>
      <c r="B21" s="18">
        <f>-Assumptions!B30</f>
        <v>-121005000</v>
      </c>
    </row>
    <row r="22" spans="1:2" x14ac:dyDescent="0.25">
      <c r="A22" t="s">
        <v>64</v>
      </c>
      <c r="B22" s="18">
        <f>B20+B21</f>
        <v>3122011434.802473</v>
      </c>
    </row>
    <row r="23" spans="1:2" x14ac:dyDescent="0.25">
      <c r="A23" s="19" t="s">
        <v>65</v>
      </c>
      <c r="B23" s="25">
        <f>B22/Assumptions!B31</f>
        <v>17.134516287530055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50.1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5.155318035754141</v>
      </c>
    </row>
    <row r="29" spans="1:2" x14ac:dyDescent="0.25">
      <c r="A29" s="19" t="s">
        <v>73</v>
      </c>
      <c r="B29" s="12">
        <f>B28/B26-1</f>
        <v>-0.8970994404041089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0.108306</v>
      </c>
      <c r="B5" s="31">
        <v>6.326189220083693</v>
      </c>
      <c r="C5" s="31">
        <v>6.3873849351509895</v>
      </c>
      <c r="D5" s="31">
        <v>6.453559353944608</v>
      </c>
      <c r="E5" s="31">
        <v>6.525666178044184</v>
      </c>
      <c r="F5" s="31">
        <v>6.6049193064428335</v>
      </c>
    </row>
    <row r="6" spans="1:6" x14ac:dyDescent="0.25">
      <c r="A6" s="30">
        <v>0.118306</v>
      </c>
      <c r="B6" s="31">
        <v>5.655552684671667</v>
      </c>
      <c r="C6" s="31">
        <v>5.686245291635132</v>
      </c>
      <c r="D6" s="31">
        <v>5.718197590626746</v>
      </c>
      <c r="E6" s="31">
        <v>5.7516235578250505</v>
      </c>
      <c r="F6" s="31">
        <v>5.78678854054117</v>
      </c>
    </row>
    <row r="7" spans="1:6" x14ac:dyDescent="0.25">
      <c r="A7" s="30">
        <v>0.128306</v>
      </c>
      <c r="B7" s="31">
        <v>5.120160078978682</v>
      </c>
      <c r="C7" s="31">
        <v>5.137736417879325</v>
      </c>
      <c r="D7" s="32">
        <v>5.155312756779968</v>
      </c>
      <c r="E7" s="31">
        <v>5.1728890956806115</v>
      </c>
      <c r="F7" s="31">
        <v>5.190465434581253</v>
      </c>
    </row>
    <row r="8" spans="1:6" x14ac:dyDescent="0.25">
      <c r="A8" s="30">
        <v>0.138306</v>
      </c>
      <c r="B8" s="31">
        <v>4.686101327548639</v>
      </c>
      <c r="C8" s="31">
        <v>4.701772077801809</v>
      </c>
      <c r="D8" s="31">
        <v>4.717442828054978</v>
      </c>
      <c r="E8" s="31">
        <v>4.733113578308146</v>
      </c>
      <c r="F8" s="31">
        <v>4.748784328561315</v>
      </c>
    </row>
    <row r="9" spans="1:6" x14ac:dyDescent="0.25">
      <c r="A9" s="30">
        <v>0.148306</v>
      </c>
      <c r="B9" s="31">
        <v>4.311610101031878</v>
      </c>
      <c r="C9" s="31">
        <v>4.32566016650657</v>
      </c>
      <c r="D9" s="31">
        <v>4.339710231981261</v>
      </c>
      <c r="E9" s="31">
        <v>4.3537602974559535</v>
      </c>
      <c r="F9" s="31">
        <v>4.367810362930645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674226000</v>
      </c>
      <c r="C5" s="18">
        <v>550459000</v>
      </c>
      <c r="D5" s="18">
        <v>456468000</v>
      </c>
      <c r="E5" s="18">
        <v>506145000</v>
      </c>
      <c r="F5" s="8" t="s">
        <v>84</v>
      </c>
    </row>
    <row r="6" spans="1:6" x14ac:dyDescent="0.25">
      <c r="A6" t="s">
        <v>44</v>
      </c>
      <c r="B6" s="18">
        <v>108830000</v>
      </c>
      <c r="C6" s="18">
        <v>81355000</v>
      </c>
      <c r="D6" s="18">
        <v>62901000</v>
      </c>
      <c r="E6" s="18">
        <v>113446000</v>
      </c>
      <c r="F6" s="8" t="s">
        <v>85</v>
      </c>
    </row>
    <row r="7" spans="1:6" x14ac:dyDescent="0.25">
      <c r="A7" t="s">
        <v>86</v>
      </c>
      <c r="B7" s="18">
        <v>37735000</v>
      </c>
      <c r="C7" s="18">
        <v>33086000</v>
      </c>
      <c r="D7" s="18">
        <v>28867000</v>
      </c>
      <c r="E7" s="18">
        <v>24600000</v>
      </c>
      <c r="F7" s="8" t="s">
        <v>87</v>
      </c>
    </row>
    <row r="8" spans="1:6" x14ac:dyDescent="0.25">
      <c r="A8" t="s">
        <v>88</v>
      </c>
      <c r="B8" s="18">
        <v>62428000</v>
      </c>
      <c r="C8" s="18">
        <v>50784000</v>
      </c>
      <c r="D8" s="18">
        <v>19371000</v>
      </c>
      <c r="E8" s="18">
        <v>6588000</v>
      </c>
      <c r="F8" s="8" t="s">
        <v>89</v>
      </c>
    </row>
    <row r="9" spans="1:6" x14ac:dyDescent="0.25">
      <c r="A9" t="s">
        <v>90</v>
      </c>
      <c r="B9" s="18">
        <v>21471000</v>
      </c>
      <c r="C9" s="18">
        <v>5664000</v>
      </c>
      <c r="D9" s="18">
        <v>24744000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160736000</v>
      </c>
      <c r="C10" s="18">
        <v>141046000</v>
      </c>
      <c r="D10" s="18">
        <v>125391000</v>
      </c>
      <c r="E10" s="18">
        <v>82243000</v>
      </c>
      <c r="F10" s="8" t="s">
        <v>93</v>
      </c>
    </row>
    <row r="11" spans="1:6" x14ac:dyDescent="0.25">
      <c r="A11" t="s">
        <v>94</v>
      </c>
      <c r="B11" s="18">
        <v>39731000</v>
      </c>
      <c r="C11" s="18">
        <v>19703000</v>
      </c>
      <c r="D11" s="18">
        <v>23661000</v>
      </c>
      <c r="E11" s="18">
        <v>22613000</v>
      </c>
      <c r="F11" s="8" t="s">
        <v>95</v>
      </c>
    </row>
    <row r="12" spans="1:6" x14ac:dyDescent="0.25">
      <c r="A12" t="s">
        <v>32</v>
      </c>
      <c r="B12" s="34">
        <v>182205986</v>
      </c>
      <c r="C12" s="34">
        <v>181667411</v>
      </c>
      <c r="D12" s="34">
        <v>181213904</v>
      </c>
      <c r="E12" s="34">
        <v>181179856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2026-09-19T00:06:22Z</dcterms:modified>
</cp:coreProperties>
</file>