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<sst xmlns="http://schemas.openxmlformats.org/spreadsheetml/2006/main" count="112" uniqueCount="100">
  <si>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Cadence Design Systems, Inc. (CDNS)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</si>
  <si>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</si>
  <si>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</si>
  <si>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</si>
  <si>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</si>
  <si>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</si>
  <si>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</si>
  <si>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</si>
  <si>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</si>
  <si>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</si>
  <si>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</si>
  <si>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</si>
  <si>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</si>
  <si>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</si>
  <si>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</si>
  <si>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</si>
  <si>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</si>
  <si>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</si>
  <si>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</si>
  <si>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</si>
  <si>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</si>
  <si>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</si>
  <si>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</si>
  <si>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</si>
  <si>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</si>
  <si>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</si>
  <si>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</si>
  <si>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</si>
  <si>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</si>
  <si>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</si>
  <si>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</si>
  <si>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</si>
  <si>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</si>
  <si>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</si>
  <si>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</si>
  <si>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</si>
  <si>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</si>
  <si>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</si>
  <si>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</si>
  <si>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</si>
  <si>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</si>
  <si>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</si>
  <si>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</si>
  <si>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</si>
  <si>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</si>
  <si>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</si>
  <si>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</si>
  <si>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</si>
  <si>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</si>
  <si>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</si>
  <si>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</si>
  <si>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</si>
  <si>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</si>
  <si>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</si>
  <si>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</si>
  <si>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</si>
  <si>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</si>
  <si>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</si>
  <si>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</si>
  <si>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</si>
  <si>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</si>
  <si>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</si>
  <si>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</si>
  <si>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</si>
  <si>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</si>
  <si>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</si>
  <si>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</si>
  <si>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</si>
  <si>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</si>
  <si>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</si>
  <si>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</si>
  <si>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</si>
  <si>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</si>
  <si>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</si>
  <si>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</si>
  <si>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</si>
  <si>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</si>
  <si>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</si>
  <si>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</si>
  <si>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</si>
  <si>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</si>
  <si>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</si>
  <si>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</si>
  <si>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</si>
  <si>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</si>
  <si>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</si>
  <si>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</si>
  <si>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</si>
  <si>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</si>
  <si>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</si>
  <si>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</si>
  <si>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</si>
  <si>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</si>
  <si>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</si>
  <si>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</si>
  <si>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</si>
  <si>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</si>
  <si>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</si>
  <si>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41.1x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</si>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</sst>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0.14143248241855333</v>
      </c>
    </row>
    <row r="7" spans="1:2" x14ac:dyDescent="0.25">
      <c r="A7" t="s">
        <v>5</v>
      </c>
      <c r="B7" s="6">
        <v>0.30487515365179385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0.03995601193967774</v>
      </c>
    </row>
    <row r="10" spans="1:2" x14ac:dyDescent="0.25">
      <c r="A10" t="s">
        <v>8</v>
      </c>
      <c r="B10" s="6">
        <v>0.029358338056707376</v>
      </c>
    </row>
    <row r="11" spans="1:2" x14ac:dyDescent="0.25">
      <c r="A11" t="s">
        <v>9</v>
      </c>
      <c r="B11" s="6">
        <v>0.1869846365859753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0.2033411662168435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1.09179</v>
      </c>
      <c r="C19" s="8" t="s">
        <v>19</v>
      </c>
    </row>
    <row r="20" spans="1:2" x14ac:dyDescent="0.25">
      <c r="A20" t="s">
        <v>20</v>
      </c>
      <c r="B20" s="10">
        <f>B17+B19*B18</f>
        <v>0.11002845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77908672512</v>
      </c>
    </row>
    <row r="23" spans="1:2" x14ac:dyDescent="0.25">
      <c r="A23" t="s">
        <v>24</v>
      </c>
      <c r="B23" s="11">
        <v>2616439000</v>
      </c>
    </row>
    <row r="24" spans="1:2" x14ac:dyDescent="0.25">
      <c r="A24" t="s">
        <v>25</v>
      </c>
      <c r="B24" s="10">
        <f>B22/(B22+B23)</f>
        <v>0.9675077879325868</v>
      </c>
    </row>
    <row r="25" spans="1:2" x14ac:dyDescent="0.25">
      <c r="A25" t="s">
        <v>26</v>
      </c>
      <c r="B25" s="10">
        <f>1-B24</f>
        <v>0.03249221206741315</v>
      </c>
    </row>
    <row r="26" spans="1:2" x14ac:dyDescent="0.25">
      <c r="A26" t="s">
        <v>27</v>
      </c>
      <c r="B26" s="12">
        <f>B24*B20+B25*B21*(1-B8)</f>
        <v>0.10773631126886339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5296759000</v>
      </c>
      <c r="C29" s="8" t="s">
        <v>30</v>
      </c>
    </row>
    <row r="30" spans="1:2" x14ac:dyDescent="0.25">
      <c r="A30" t="s">
        <v>31</v>
      </c>
      <c r="B30" s="11">
        <v>-539091000</v>
      </c>
    </row>
    <row r="31" spans="1:2" x14ac:dyDescent="0.25">
      <c r="A31" t="s">
        <v>32</v>
      </c>
      <c r="B31" s="13">
        <v>273312000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0.14143248241855333</v>
      </c>
      <c r="C5" s="10">
        <f>Assumptions!B6</f>
        <v>0.14143248241855333</v>
      </c>
      <c r="D5" s="10">
        <f>Assumptions!B6</f>
        <v>0.14143248241855333</v>
      </c>
      <c r="E5" s="10">
        <f>Assumptions!B6</f>
        <v>0.14143248241855333</v>
      </c>
      <c r="F5" s="10">
        <f>Assumptions!B6</f>
        <v>0.14143248241855333</v>
      </c>
    </row>
    <row r="6" spans="1:6" x14ac:dyDescent="0.25">
      <c r="A6" t="s">
        <v>43</v>
      </c>
      <c r="B6" s="18">
        <f>Assumptions!B29*(1+B5)</f>
        <v>6045892774.142814</v>
      </c>
      <c r="C6" s="18">
        <f>B6*(1+C5)</f>
        <v>6900978397.626225</v>
      </c>
      <c r="D6" s="18">
        <f>C6*(1+D5)</f>
        <v>7877000903.519313</v>
      </c>
      <c r="E6" s="18">
        <f>D6*(1+E5)</f>
        <v>8991064695.317236</v>
      </c>
      <c r="F6" s="18">
        <f>E6*(1+F5)</f>
        <v>10262693294.761766</v>
      </c>
    </row>
    <row r="7" spans="1:6" x14ac:dyDescent="0.25">
      <c r="A7" t="s">
        <v>5</v>
      </c>
      <c r="B7" s="10">
        <f>Assumptions!B7</f>
        <v>0.30487515365179385</v>
      </c>
      <c r="C7" s="10">
        <f>Assumptions!B7</f>
        <v>0.30487515365179385</v>
      </c>
      <c r="D7" s="10">
        <f>Assumptions!B7</f>
        <v>0.30487515365179385</v>
      </c>
      <c r="E7" s="10">
        <f>Assumptions!B7</f>
        <v>0.30487515365179385</v>
      </c>
      <c r="F7" s="10">
        <f>Assumptions!B7</f>
        <v>0.30487515365179385</v>
      </c>
    </row>
    <row r="8" spans="1:6" x14ac:dyDescent="0.25">
      <c r="A8" t="s">
        <v>44</v>
      </c>
      <c r="B8" s="18">
        <f>B6*B7</f>
        <v>1843242488.4790604</v>
      </c>
      <c r="C8" s="18">
        <f>C6*C7</f>
        <v>2103936849.3240056</v>
      </c>
      <c r="D8" s="18">
        <f>D6*D7</f>
        <v>2401501860.7757697</v>
      </c>
      <c r="E8" s="18">
        <f>E6*E7</f>
        <v>2741152230.478061</v>
      </c>
      <c r="F8" s="18">
        <f>F6*F7</f>
        <v>3128840195.121728</v>
      </c>
    </row>
    <row r="9" spans="1:6" x14ac:dyDescent="0.25">
      <c r="A9" t="s">
        <v>45</v>
      </c>
      <c r="B9" s="18">
        <f>B8*(1-Assumptions!B8)</f>
        <v>1456161565.8984578</v>
      </c>
      <c r="C9" s="18">
        <f>C8*(1-Assumptions!B8)</f>
        <v>1662110110.9659646</v>
      </c>
      <c r="D9" s="18">
        <f>D8*(1-Assumptions!B8)</f>
        <v>1897186470.0128582</v>
      </c>
      <c r="E9" s="18">
        <f>E8*(1-Assumptions!B8)</f>
        <v>2165510262.0776687</v>
      </c>
      <c r="F9" s="18">
        <f>F8*(1-Assumptions!B8)</f>
        <v>2471783754.1461654</v>
      </c>
    </row>
    <row r="10" spans="1:6" x14ac:dyDescent="0.25">
      <c r="A10" t="s">
        <v>46</v>
      </c>
      <c r="B10" s="18">
        <f>B6*Assumptions!B9</f>
        <v>241569763.86966163</v>
      </c>
      <c r="C10" s="18">
        <f>C6*Assumptions!B9</f>
        <v>275735575.2510116</v>
      </c>
      <c r="D10" s="18">
        <f>D6*Assumptions!B9</f>
        <v>314733542.14987</v>
      </c>
      <c r="E10" s="18">
        <f>E6*Assumptions!B9</f>
        <v>359247088.31651044</v>
      </c>
      <c r="F10" s="18">
        <f>F6*Assumptions!B9</f>
        <v>410056295.8187518</v>
      </c>
    </row>
    <row r="11" spans="1:6" x14ac:dyDescent="0.25">
      <c r="A11" t="s">
        <v>47</v>
      </c>
      <c r="B11" s="18">
        <f>-B6*Assumptions!B10</f>
        <v>-177497363.9178891</v>
      </c>
      <c r="C11" s="18">
        <f>-C6*Assumptions!B10</f>
        <v>-202601256.7195455</v>
      </c>
      <c r="D11" s="18">
        <f>-D6*Assumptions!B10</f>
        <v>-231255655.39850944</v>
      </c>
      <c r="E11" s="18">
        <f>-E6*Assumptions!B10</f>
        <v>-263962716.81485012</v>
      </c>
      <c r="F11" s="18">
        <f>-F6*Assumptions!B10</f>
        <v>-301295619.11991996</v>
      </c>
    </row>
    <row r="12" spans="1:6" x14ac:dyDescent="0.25">
      <c r="A12" t="s">
        <v>48</v>
      </c>
      <c r="B12" s="18">
        <f>-(B6-Assumptions!B29)*Assumptions!B11</f>
        <v>-140076506.51237413</v>
      </c>
      <c r="C12" s="18">
        <f>-(C6-B6)*Assumptions!B11</f>
        <v>-159887874.55693787</v>
      </c>
      <c r="D12" s="18">
        <f>-(D6-C6)*Assumptions!B11</f>
        <v>-182501213.56415188</v>
      </c>
      <c r="E12" s="18">
        <f>-(E6-D6)*Assumptions!B11</f>
        <v>-208312813.2429283</v>
      </c>
      <c r="F12" s="18">
        <f>-(F6-E6)*Assumptions!B11</f>
        <v>-237775011.5394683</v>
      </c>
    </row>
    <row r="13" spans="1:6" x14ac:dyDescent="0.25">
      <c r="A13" s="19" t="s">
        <v>49</v>
      </c>
      <c r="B13" s="20">
        <f>B9+B10+B11+B12</f>
        <v>1380157459.337856</v>
      </c>
      <c r="C13" s="20">
        <f>C9+C10+C11+C12</f>
        <v>1575356554.9404926</v>
      </c>
      <c r="D13" s="20">
        <f>D9+D10+D11+D12</f>
        <v>1798163143.200067</v>
      </c>
      <c r="E13" s="20">
        <f>E9+E10+E11+E12</f>
        <v>2052481820.3364007</v>
      </c>
      <c r="F13" s="20">
        <f>F9+F10+F11+F12</f>
        <v>2342769419.305529</v>
      </c>
    </row>
    <row r="14" spans="1:6" x14ac:dyDescent="0.25">
      <c r="A14" t="s">
        <v>50</v>
      </c>
      <c r="B14" s="21">
        <f>1/(1+Assumptions!$B$26)^(1-0.5*Assumptions!$B$32)</f>
        <v>0.9501273156519492</v>
      </c>
      <c r="C14" s="21">
        <f>1/(1+Assumptions!$B$26)^(2-0.5*Assumptions!$B$32)</f>
        <v>0.8577197533261501</v>
      </c>
      <c r="D14" s="21">
        <f>1/(1+Assumptions!$B$26)^(3-0.5*Assumptions!$B$32)</f>
        <v>0.7742995734640764</v>
      </c>
      <c r="E14" s="21">
        <f>1/(1+Assumptions!$B$26)^(4-0.5*Assumptions!$B$32)</f>
        <v>0.6989926804666627</v>
      </c>
      <c r="F14" s="21">
        <f>1/(1+Assumptions!$B$26)^(5-0.5*Assumptions!$B$32)</f>
        <v>0.6310099915980882</v>
      </c>
    </row>
    <row r="15" spans="1:6" x14ac:dyDescent="0.25">
      <c r="A15" s="19" t="s">
        <v>51</v>
      </c>
      <c r="B15" s="20">
        <f>B13*B14</f>
        <v>1311325302.0176914</v>
      </c>
      <c r="C15" s="20">
        <f>C13*C14</f>
        <v>1351214435.704293</v>
      </c>
      <c r="D15" s="20">
        <f>D13*D14</f>
        <v>1392316954.7986348</v>
      </c>
      <c r="E15" s="20">
        <f>E13*E14</f>
        <v>1434669769.206036</v>
      </c>
      <c r="F15" s="20">
        <f>F13*F14</f>
        <v>1478310911.59224</v>
      </c>
    </row>
    <row r="17" spans="1:2" x14ac:dyDescent="0.25">
      <c r="A17" s="22" t="s">
        <v>52</v>
      </c>
      <c r="B17" s="23">
        <f>SUM(B15:F15)</f>
        <v>6967837373.318896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2342769419.305529</v>
      </c>
    </row>
    <row r="5" spans="1:2" x14ac:dyDescent="0.25">
      <c r="A5" t="s">
        <v>56</v>
      </c>
      <c r="B5" s="18">
        <f>IF(Assumptions!$B$33=0,B4,B4-Forecast!F11-Forecast!F10-Forecast!F12)</f>
        <v>2471783754.1461654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0.12294608349663905</v>
      </c>
    </row>
    <row r="7" spans="1:2" x14ac:dyDescent="0.25">
      <c r="A7" t="s">
        <v>58</v>
      </c>
      <c r="B7" s="18">
        <f>-MAX(Forecast!F9,0)*B6</f>
        <v>-303896131.82289034</v>
      </c>
    </row>
    <row r="8" spans="1:2" x14ac:dyDescent="0.25">
      <c r="A8" t="s">
        <v>59</v>
      </c>
      <c r="B8" s="18">
        <f>IF(OR(Assumptions!$B$33=0,Assumptions!B12&lt;=0),B5,MAX(B5+B7,0))</f>
        <v>2167887622.323275</v>
      </c>
    </row>
    <row r="9" spans="1:2" x14ac:dyDescent="0.25">
      <c r="A9" t="s">
        <v>60</v>
      </c>
      <c r="B9" s="18">
        <f>B8*(1+Assumptions!B12)/(Assumptions!B26-Assumptions!B12)</f>
        <v>26857431505.018116</v>
      </c>
    </row>
    <row r="10" spans="1:2" x14ac:dyDescent="0.25">
      <c r="A10" t="s">
        <v>61</v>
      </c>
      <c r="B10" s="18">
        <f>B9/(1+Assumptions!B26)^(5-0.5*Assumptions!B32)</f>
        <v>16947307628.327711</v>
      </c>
    </row>
    <row r="11" spans="1:2" x14ac:dyDescent="0.25">
      <c r="A11" t="s">
        <v>62</v>
      </c>
      <c r="B11" s="18">
        <f>Forecast!B17+B10</f>
        <v>23915145001.646606</v>
      </c>
    </row>
    <row r="12" spans="1:2" x14ac:dyDescent="0.25">
      <c r="A12" t="s">
        <v>63</v>
      </c>
      <c r="B12" s="18">
        <f>-Assumptions!B30</f>
        <v>539091000</v>
      </c>
    </row>
    <row r="13" spans="1:2" x14ac:dyDescent="0.25">
      <c r="A13" t="s">
        <v>64</v>
      </c>
      <c r="B13" s="18">
        <f>B11+B12</f>
        <v>24454236001.646606</v>
      </c>
    </row>
    <row r="14" spans="1:2" x14ac:dyDescent="0.25">
      <c r="A14" s="19" t="s">
        <v>65</v>
      </c>
      <c r="B14" s="24">
        <f>B13/Assumptions!B31</f>
        <v>89.47370039239625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3538896490.9404798</v>
      </c>
    </row>
    <row r="18" spans="1:2" x14ac:dyDescent="0.25">
      <c r="A18" t="s">
        <v>60</v>
      </c>
      <c r="B18" s="18">
        <f>B17*Assumptions!B13</f>
        <v>70777929818.8096</v>
      </c>
    </row>
    <row r="19" spans="1:2" x14ac:dyDescent="0.25">
      <c r="A19" t="s">
        <v>61</v>
      </c>
      <c r="B19" s="18">
        <f>B18/(1+Assumptions!B26)^(5-0.5*Assumptions!B32)</f>
        <v>44661580900.29713</v>
      </c>
    </row>
    <row r="20" spans="1:2" x14ac:dyDescent="0.25">
      <c r="A20" t="s">
        <v>62</v>
      </c>
      <c r="B20" s="18">
        <f>Forecast!B17+B19</f>
        <v>51629418273.61602</v>
      </c>
    </row>
    <row r="21" spans="1:2" x14ac:dyDescent="0.25">
      <c r="A21" t="s">
        <v>63</v>
      </c>
      <c r="B21" s="18">
        <f>-Assumptions!B30</f>
        <v>539091000</v>
      </c>
    </row>
    <row r="22" spans="1:2" x14ac:dyDescent="0.25">
      <c r="A22" t="s">
        <v>64</v>
      </c>
      <c r="B22" s="18">
        <f>B20+B21</f>
        <v>52168509273.61602</v>
      </c>
    </row>
    <row r="23" spans="1:2" x14ac:dyDescent="0.25">
      <c r="A23" s="19" t="s">
        <v>65</v>
      </c>
      <c r="B23" s="25">
        <f>B22/Assumptions!B31</f>
        <v>190.87529736570667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282.9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89.47370039239625</v>
      </c>
    </row>
    <row r="29" spans="1:2" x14ac:dyDescent="0.25">
      <c r="A29" s="19" t="s">
        <v>73</v>
      </c>
      <c r="B29" s="12">
        <f>B28/B26-1</f>
        <v>-0.6837267571848842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0.087736</v>
      </c>
      <c r="B5" s="31">
        <v>108.75575952000767</v>
      </c>
      <c r="C5" s="31">
        <v>112.79559253119085</v>
      </c>
      <c r="D5" s="31">
        <v>117.45508868653819</v>
      </c>
      <c r="E5" s="31">
        <v>122.89523848006493</v>
      </c>
      <c r="F5" s="31">
        <v>129.33808765988795</v>
      </c>
    </row>
    <row r="6" spans="1:6" x14ac:dyDescent="0.25">
      <c r="A6" s="30">
        <v>0.097736</v>
      </c>
      <c r="B6" s="31">
        <v>95.61389796190119</v>
      </c>
      <c r="C6" s="31">
        <v>98.39471302864287</v>
      </c>
      <c r="D6" s="31">
        <v>101.53774843488158</v>
      </c>
      <c r="E6" s="31">
        <v>105.12321714111776</v>
      </c>
      <c r="F6" s="31">
        <v>109.2569036968917</v>
      </c>
    </row>
    <row r="7" spans="1:6" x14ac:dyDescent="0.25">
      <c r="A7" s="30">
        <v>0.107736</v>
      </c>
      <c r="B7" s="31">
        <v>85.31957440594473</v>
      </c>
      <c r="C7" s="31">
        <v>87.28641992579247</v>
      </c>
      <c r="D7" s="32">
        <v>89.47403042108253</v>
      </c>
      <c r="E7" s="31">
        <v>91.92500487596173</v>
      </c>
      <c r="F7" s="31">
        <v>94.69365558961941</v>
      </c>
    </row>
    <row r="8" spans="1:6" x14ac:dyDescent="0.25">
      <c r="A8" s="30">
        <v>0.117736</v>
      </c>
      <c r="B8" s="31">
        <v>77.04076237474322</v>
      </c>
      <c r="C8" s="31">
        <v>78.45972284860798</v>
      </c>
      <c r="D8" s="31">
        <v>80.01716219963103</v>
      </c>
      <c r="E8" s="31">
        <v>81.73675580801408</v>
      </c>
      <c r="F8" s="31">
        <v>83.64790216849221</v>
      </c>
    </row>
    <row r="9" spans="1:6" x14ac:dyDescent="0.25">
      <c r="A9" s="30">
        <v>0.127736</v>
      </c>
      <c r="B9" s="31">
        <v>70.24067121835553</v>
      </c>
      <c r="C9" s="31">
        <v>71.27900236074014</v>
      </c>
      <c r="D9" s="31">
        <v>72.40579937533387</v>
      </c>
      <c r="E9" s="31">
        <v>73.6346395323661</v>
      </c>
      <c r="F9" s="31">
        <v>74.98202825730887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5296759000</v>
      </c>
      <c r="C5" s="18">
        <v>4641264000</v>
      </c>
      <c r="D5" s="18">
        <v>4089986000</v>
      </c>
      <c r="E5" s="18">
        <v>3561718000</v>
      </c>
      <c r="F5" s="8" t="s">
        <v>84</v>
      </c>
    </row>
    <row r="6" spans="1:6" x14ac:dyDescent="0.25">
      <c r="A6" t="s">
        <v>44</v>
      </c>
      <c r="B6" s="18">
        <v>1649781000</v>
      </c>
      <c r="C6" s="18">
        <v>1382850000</v>
      </c>
      <c r="D6" s="18">
        <v>1262238000</v>
      </c>
      <c r="E6" s="18">
        <v>1073741000</v>
      </c>
      <c r="F6" s="8" t="s">
        <v>85</v>
      </c>
    </row>
    <row r="7" spans="1:6" x14ac:dyDescent="0.25">
      <c r="A7" t="s">
        <v>86</v>
      </c>
      <c r="B7" s="18">
        <v>233844000</v>
      </c>
      <c r="C7" s="18">
        <v>195015000</v>
      </c>
      <c r="D7" s="18">
        <v>145743000</v>
      </c>
      <c r="E7" s="18">
        <v>135430000</v>
      </c>
      <c r="F7" s="8" t="s">
        <v>87</v>
      </c>
    </row>
    <row r="8" spans="1:6" x14ac:dyDescent="0.25">
      <c r="A8" t="s">
        <v>88</v>
      </c>
      <c r="B8" s="18">
        <v>141871000</v>
      </c>
      <c r="C8" s="18">
        <v>142542000</v>
      </c>
      <c r="D8" s="18">
        <v>102503000</v>
      </c>
      <c r="E8" s="18">
        <v>124215000</v>
      </c>
      <c r="F8" s="8" t="s">
        <v>89</v>
      </c>
    </row>
    <row r="9" spans="1:6" x14ac:dyDescent="0.25">
      <c r="A9" t="s">
        <v>90</v>
      </c>
      <c r="B9" s="18">
        <v>73251000</v>
      </c>
      <c r="C9" s="18">
        <v>208975000</v>
      </c>
      <c r="D9" s="18">
        <v>98778000</v>
      </c>
      <c r="E9" s="18">
        <v>-87545000</v>
      </c>
      <c r="F9" s="8" t="s">
        <v>91</v>
      </c>
    </row>
    <row r="10" spans="1:6" x14ac:dyDescent="0.25">
      <c r="A10" t="s">
        <v>92</v>
      </c>
      <c r="B10" s="18">
        <v>2616439000</v>
      </c>
      <c r="C10" s="18">
        <v>2585076000</v>
      </c>
      <c r="D10" s="18">
        <v>764414000</v>
      </c>
      <c r="E10" s="18">
        <v>887415000</v>
      </c>
      <c r="F10" s="8" t="s">
        <v>93</v>
      </c>
    </row>
    <row r="11" spans="1:6" x14ac:dyDescent="0.25">
      <c r="A11" t="s">
        <v>94</v>
      </c>
      <c r="B11" s="18">
        <v>3155530000</v>
      </c>
      <c r="C11" s="18">
        <v>2784655000</v>
      </c>
      <c r="D11" s="18">
        <v>1138511000</v>
      </c>
      <c r="E11" s="18">
        <v>886815000</v>
      </c>
      <c r="F11" s="8" t="s">
        <v>95</v>
      </c>
    </row>
    <row r="12" spans="1:6" x14ac:dyDescent="0.25">
      <c r="A12" t="s">
        <v>32</v>
      </c>
      <c r="B12" s="34">
        <v>273312000</v>
      </c>
      <c r="C12" s="34">
        <v>273833000</v>
      </c>
      <c r="D12" s="34">
        <v>272748000</v>
      </c>
      <c r="E12" s="34">
        <v>275011000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