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<sst xmlns="http://schemas.openxmlformats.org/spreadsheetml/2006/main" count="120" uniqueCount="107">
  <si>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Cadence Design Systems, Inc. (CDNS)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</si>
  <si>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</si>
  <si>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</si>
  <si>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</si>
  <si>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</si>
  <si>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</si>
  <si>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</si>
  <si>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</si>
  <si>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</si>
  <si>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</si>
  <si>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</si>
  <si>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</si>
  <si>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</si>
  <si>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</si>
  <si>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</si>
  <si>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</si>
  <si>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</si>
  <si>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</si>
  <si>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</si>
  <si>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</si>
  <si>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</si>
  <si>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</si>
  <si>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</si>
  <si>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</si>
  <si>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14.2x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</si>
  <si>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</si>
  <si>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</si>
  <si>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</si>
  <si>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</si>
  <si>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</si>
  <si>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</si>
  <si>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</si>
  <si>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</si>
  <si>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</si>
  <si>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</si>
  <si>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</si>
  <si>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</si>
  <si>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</si>
  <si>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</si>
  <si>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</si>
  <si>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</si>
  <si>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</si>
  <si>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</si>
  <si>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</si>
  <si>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</si>
  <si>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</si>
  <si>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</si>
  <si>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</si>
  <si>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</si>
  <si>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</si>
  <si>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</si>
  <si>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</si>
  <si>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</si>
  <si>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</si>
  <si>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</si>
  <si>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</si>
  <si>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</si>
  <si>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</si>
  <si>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</si>
  <si>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</si>
  <si>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</si>
  <si>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</si>
  <si>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</si>
  <si>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</si>
  <si>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</si>
  <si>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</si>
  <si>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</si>
  <si>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</si>
  <si>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</si>
  <si>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</si>
  <si>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</si>
  <si>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</si>
  <si>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</si>
  <si>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</si>
  <si>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</si>
  <si>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</si>
  <si>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</si>
  <si>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</si>
  <si>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</si>
  <si>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</si>
  <si>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</si>
  <si>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</si>
  <si>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</si>
  <si>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</si>
  <si>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</si>
  <si>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</si>
  <si>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</si>
  <si>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</si>
  <si>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</si>
  <si>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</si>
  <si>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</si>
  <si>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</si>
  <si>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</si>
  <si>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</si>
  <si>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</si>
  <si>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</si>
  <si>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</si>
  <si>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</si>
  <si>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</si>
  <si>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</si>
  <si>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</si>
  <si>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</si>
  <si>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</si>
  <si>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</si>
  <si>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</si>
  <si>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47.5x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</si>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</sst>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0.2101509092635705</v>
      </c>
    </row>
    <row r="7" spans="1:2" x14ac:dyDescent="0.25">
      <c r="A7" t="s">
        <v>4</v>
      </c>
      <c r="B7" s="5">
        <v>0.30487515365179385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0.03995601193967774</v>
      </c>
    </row>
    <row r="10" spans="1:3" x14ac:dyDescent="0.25">
      <c r="A10" t="s">
        <v>7</v>
      </c>
      <c r="B10" s="5">
        <v>0.029358338056707376</v>
      </c>
      <c r="C10" s="6" t="s">
        <v>8</v>
      </c>
    </row>
    <row r="11" spans="1:2" x14ac:dyDescent="0.25">
      <c r="A11" t="s">
        <v>9</v>
      </c>
      <c r="B11" s="5">
        <v>0.12187986420220367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0.2033411662168435</v>
      </c>
      <c r="C14" s="6" t="s">
        <v>13</v>
      </c>
    </row>
    <row r="15" spans="1:3" x14ac:dyDescent="0.25">
      <c r="A15" t="s">
        <v>14</v>
      </c>
      <c r="B15" s="5">
        <v>0.03995601193967774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1.08576</v>
      </c>
      <c r="C19" s="6" t="s">
        <v>21</v>
      </c>
    </row>
    <row r="20" spans="1:2" x14ac:dyDescent="0.25">
      <c r="A20" t="s">
        <v>22</v>
      </c>
      <c r="B20" s="9">
        <f>B17+B19*B18</f>
        <v>0.094867648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89966133248</v>
      </c>
    </row>
    <row r="23" spans="1:2" x14ac:dyDescent="0.25">
      <c r="A23" t="s">
        <v>26</v>
      </c>
      <c r="B23" s="10">
        <v>2616439000</v>
      </c>
    </row>
    <row r="24" spans="1:2" x14ac:dyDescent="0.25">
      <c r="A24" t="s">
        <v>27</v>
      </c>
      <c r="B24" s="9">
        <f>B22/(B22+B23)</f>
        <v>0.971739400445784</v>
      </c>
    </row>
    <row r="25" spans="1:2" x14ac:dyDescent="0.25">
      <c r="A25" t="s">
        <v>28</v>
      </c>
      <c r="B25" s="9">
        <f>1-B24</f>
        <v>0.028260599554216004</v>
      </c>
    </row>
    <row r="26" spans="1:2" x14ac:dyDescent="0.25">
      <c r="A26" t="s">
        <v>29</v>
      </c>
      <c r="B26" s="11">
        <f>B24*B20+B25*B21*(1-B8)</f>
        <v>0.09336856314013783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5296759000</v>
      </c>
      <c r="C29" s="6" t="s">
        <v>32</v>
      </c>
    </row>
    <row r="30" spans="1:2" x14ac:dyDescent="0.25">
      <c r="A30" t="s">
        <v>33</v>
      </c>
      <c r="B30" s="10">
        <v>-539091000</v>
      </c>
    </row>
    <row r="31" spans="1:2" x14ac:dyDescent="0.25">
      <c r="A31" t="s">
        <v>34</v>
      </c>
      <c r="B31" s="12">
        <v>273312000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0.2101509092635705</v>
      </c>
      <c r="C5" s="5">
        <v>0.14412564332038458</v>
      </c>
      <c r="D5" s="5">
        <v>0.1292349379053365</v>
      </c>
      <c r="E5" s="5">
        <v>0.11434423249028844</v>
      </c>
      <c r="F5" s="5">
        <v>0.09945352707524036</v>
      </c>
      <c r="G5" s="5">
        <v>0.08456282166019229</v>
      </c>
      <c r="H5" s="5">
        <v>0.06967211624514422</v>
      </c>
      <c r="I5" s="5">
        <v>0.05478141083009613</v>
      </c>
      <c r="J5" s="5">
        <v>0.039890705415048064</v>
      </c>
      <c r="K5" s="5">
        <v>0.024999999999999994</v>
      </c>
    </row>
    <row r="6" spans="1:11" x14ac:dyDescent="0.25">
      <c r="A6" t="s">
        <v>50</v>
      </c>
      <c r="B6" s="18">
        <f>Assumptions!B29*(1+B5)</f>
        <v>6409877720</v>
      </c>
      <c r="C6" s="18">
        <f>B6*(1+C5)</f>
        <v>7333705470</v>
      </c>
      <c r="D6" s="18">
        <f>C6*(1+D5)</f>
        <v>8281476441.031477</v>
      </c>
      <c r="E6" s="18">
        <f>D6*(1+E5)</f>
        <v>9228415508.567625</v>
      </c>
      <c r="F6" s="18">
        <f>E6*(1+F5)</f>
        <v>10146213980.210524</v>
      </c>
      <c r="G6" s="18">
        <f>F6*(1+G5)</f>
        <v>11004206463.545218</v>
      </c>
      <c r="H6" s="18">
        <f>G6*(1+H5)</f>
        <v>11770892815.458906</v>
      </c>
      <c r="I6" s="18">
        <f>H6*(1+I5)</f>
        <v>12415718930.619587</v>
      </c>
      <c r="J6" s="18">
        <f>I6*(1+J5)</f>
        <v>12910990716.99697</v>
      </c>
      <c r="K6" s="18">
        <f>J6*(1+K5)</f>
        <v>13233765484.921892</v>
      </c>
    </row>
    <row r="7" spans="1:11" x14ac:dyDescent="0.25">
      <c r="A7" t="s">
        <v>4</v>
      </c>
      <c r="B7" s="9">
        <f>Assumptions!B7</f>
        <v>0.30487515365179385</v>
      </c>
      <c r="C7" s="9">
        <f>Assumptions!B7</f>
        <v>0.30487515365179385</v>
      </c>
      <c r="D7" s="9">
        <f>Assumptions!B7</f>
        <v>0.30487515365179385</v>
      </c>
      <c r="E7" s="9">
        <f>Assumptions!B7</f>
        <v>0.30487515365179385</v>
      </c>
      <c r="F7" s="9">
        <f>Assumptions!B7</f>
        <v>0.30487515365179385</v>
      </c>
      <c r="G7" s="9">
        <f>Assumptions!B7</f>
        <v>0.30487515365179385</v>
      </c>
      <c r="H7" s="9">
        <f>Assumptions!B7</f>
        <v>0.30487515365179385</v>
      </c>
      <c r="I7" s="9">
        <f>Assumptions!B7</f>
        <v>0.30487515365179385</v>
      </c>
      <c r="J7" s="9">
        <f>Assumptions!B7</f>
        <v>0.30487515365179385</v>
      </c>
      <c r="K7" s="9">
        <f>Assumptions!B7</f>
        <v>0.30487515365179385</v>
      </c>
    </row>
    <row r="8" spans="1:11" x14ac:dyDescent="0.25">
      <c r="A8" t="s">
        <v>51</v>
      </c>
      <c r="B8" s="18">
        <f>B6*B7</f>
        <v>1954212454.77421</v>
      </c>
      <c r="C8" s="18">
        <f>C6*C7</f>
        <v>2235864582.003251</v>
      </c>
      <c r="D8" s="18">
        <f>D6*D7</f>
        <v>2524816402.4231825</v>
      </c>
      <c r="E8" s="18">
        <f>E6*E7</f>
        <v>2813514596.137152</v>
      </c>
      <c r="F8" s="18">
        <f>F6*F7</f>
        <v>3093328546.200662</v>
      </c>
      <c r="G8" s="18">
        <f>G6*G7</f>
        <v>3354909136.3894114</v>
      </c>
      <c r="H8" s="18">
        <f>H6*H7</f>
        <v>3588652755.73183</v>
      </c>
      <c r="I8" s="18">
        <f>I6*I7</f>
        <v>3785244216.670132</v>
      </c>
      <c r="J8" s="18">
        <f>J6*J7</f>
        <v>3936240278.641335</v>
      </c>
      <c r="K8" s="18">
        <f>K6*K7</f>
        <v>4034646285.607368</v>
      </c>
    </row>
    <row r="9" spans="1:11" x14ac:dyDescent="0.25">
      <c r="A9" t="s">
        <v>52</v>
      </c>
      <c r="B9" s="18">
        <f>B8*(1-Assumptions!B8)</f>
        <v>1543827839.271626</v>
      </c>
      <c r="C9" s="18">
        <f>C8*(1-Assumptions!B8)</f>
        <v>1766333019.7825685</v>
      </c>
      <c r="D9" s="18">
        <f>D8*(1-Assumptions!B8)</f>
        <v>1994604957.9143143</v>
      </c>
      <c r="E9" s="18">
        <f>E8*(1-Assumptions!B8)</f>
        <v>2222676530.9483504</v>
      </c>
      <c r="F9" s="18">
        <f>F8*(1-Assumptions!B8)</f>
        <v>2443729551.498523</v>
      </c>
      <c r="G9" s="18">
        <f>G8*(1-Assumptions!B8)</f>
        <v>2650378217.7476354</v>
      </c>
      <c r="H9" s="18">
        <f>H8*(1-Assumptions!B8)</f>
        <v>2835035677.028146</v>
      </c>
      <c r="I9" s="18">
        <f>I8*(1-Assumptions!B8)</f>
        <v>2990342931.1694045</v>
      </c>
      <c r="J9" s="18">
        <f>J8*(1-Assumptions!B8)</f>
        <v>3109629820.1266546</v>
      </c>
      <c r="K9" s="18">
        <f>K8*(1-Assumptions!B8)</f>
        <v>3187370565.629821</v>
      </c>
    </row>
    <row r="10" spans="1:11" x14ac:dyDescent="0.25">
      <c r="A10" t="s">
        <v>53</v>
      </c>
      <c r="B10" s="18">
        <f>B6*Assumptions!B9</f>
        <v>256113150.71219432</v>
      </c>
      <c r="C10" s="18">
        <f>C6*Assumptions!B9</f>
        <v>293025623.3213999</v>
      </c>
      <c r="D10" s="18">
        <f>D6*Assumptions!B9</f>
        <v>330894771.5560136</v>
      </c>
      <c r="E10" s="18">
        <f>E6*Assumptions!B9</f>
        <v>368730680.2446352</v>
      </c>
      <c r="F10" s="18">
        <f>F6*Assumptions!B9</f>
        <v>405402246.9358169</v>
      </c>
      <c r="G10" s="18">
        <f>G6*Assumptions!B9</f>
        <v>439684204.84409165</v>
      </c>
      <c r="H10" s="18">
        <f>H6*Assumptions!B9</f>
        <v>470317933.87514293</v>
      </c>
      <c r="I10" s="18">
        <f>I6*Assumptions!B9</f>
        <v>496082613.8315191</v>
      </c>
      <c r="J10" s="18">
        <f>J6*Assumptions!B9</f>
        <v>515871699.24139935</v>
      </c>
      <c r="K10" s="18">
        <f>K6*Assumptions!B9</f>
        <v>528768491.7224343</v>
      </c>
    </row>
    <row r="11" spans="1:11" x14ac:dyDescent="0.25">
      <c r="A11" t="s">
        <v>54</v>
      </c>
      <c r="B11" s="18">
        <f>-B6*B19</f>
        <v>-188183357.0059167</v>
      </c>
      <c r="C11" s="18">
        <f>-C6*C19</f>
        <v>-248070287.2696812</v>
      </c>
      <c r="D11" s="18">
        <f>-D6*D19</f>
        <v>-317128885.9178149</v>
      </c>
      <c r="E11" s="18">
        <f>-E6*E19</f>
        <v>-394620646.3537367</v>
      </c>
      <c r="F11" s="18">
        <f>-F6*F19</f>
        <v>-479197421.9781989</v>
      </c>
      <c r="G11" s="18">
        <f>-G6*G19</f>
        <v>-568883331.7905654</v>
      </c>
      <c r="H11" s="18">
        <f>-H6*H19</f>
        <v>-661107594.794501</v>
      </c>
      <c r="I11" s="18">
        <f>-I6*I19</f>
        <v>-752793856.208776</v>
      </c>
      <c r="J11" s="18">
        <f>-J6*J19</f>
        <v>-840505920.457694</v>
      </c>
      <c r="K11" s="18">
        <f>-K6*K19</f>
        <v>-920643219.4190879</v>
      </c>
    </row>
    <row r="12" spans="1:11" x14ac:dyDescent="0.25">
      <c r="A12" t="s">
        <v>55</v>
      </c>
      <c r="B12" s="18">
        <f>-(B6-Assumptions!B29)*Assumptions!B11</f>
        <v>-135666758.43453076</v>
      </c>
      <c r="C12" s="18">
        <f>-(C6-B6)*Assumptions!B11</f>
        <v>-112596000.71622737</v>
      </c>
      <c r="D12" s="18">
        <f>-(D6-C6)*Assumptions!B11</f>
        <v>-115514197.24410713</v>
      </c>
      <c r="E12" s="18">
        <f>-(E6-D6)*Assumptions!B11</f>
        <v>-115412804.9590671</v>
      </c>
      <c r="F12" s="18">
        <f>-(F6-E6)*Assumptions!B11</f>
        <v>-111861153.08882655</v>
      </c>
      <c r="G12" s="18">
        <f>-(G6-F6)*Assumptions!B11</f>
        <v>-104572007.355344</v>
      </c>
      <c r="H12" s="18">
        <f>-(H6-G6)*Assumptions!B11</f>
        <v>-93443628.4569233</v>
      </c>
      <c r="I12" s="18">
        <f>-(I6-H6)*Assumptions!B11</f>
        <v>-78591319.34981832</v>
      </c>
      <c r="J12" s="18">
        <f>-(J6-I6)*Assumptions!B11</f>
        <v>-60363658.06685818</v>
      </c>
      <c r="K12" s="18">
        <f>-(K6-J6)*Assumptions!B11</f>
        <v>-39339744.88258742</v>
      </c>
    </row>
    <row r="13" spans="1:11" x14ac:dyDescent="0.25">
      <c r="A13" s="19" t="s">
        <v>56</v>
      </c>
      <c r="B13" s="20">
        <f>B9+B10+B11+B12</f>
        <v>1476090874.543373</v>
      </c>
      <c r="C13" s="20">
        <f>C9+C10+C11+C12</f>
        <v>1698692355.1180599</v>
      </c>
      <c r="D13" s="20">
        <f>D9+D10+D11+D12</f>
        <v>1892856646.3084059</v>
      </c>
      <c r="E13" s="20">
        <f>E9+E10+E11+E12</f>
        <v>2081373759.8801816</v>
      </c>
      <c r="F13" s="20">
        <f>F9+F10+F11+F12</f>
        <v>2258073223.3673143</v>
      </c>
      <c r="G13" s="20">
        <f>G9+G10+G11+G12</f>
        <v>2416607083.445818</v>
      </c>
      <c r="H13" s="20">
        <f>H9+H10+H11+H12</f>
        <v>2550802387.6518645</v>
      </c>
      <c r="I13" s="20">
        <f>I9+I10+I11+I12</f>
        <v>2655040369.4423294</v>
      </c>
      <c r="J13" s="20">
        <f>J9+J10+J11+J12</f>
        <v>2724631940.8435016</v>
      </c>
      <c r="K13" s="20">
        <f>K9+K10+K11+K12</f>
        <v>2756156093.0505795</v>
      </c>
    </row>
    <row r="14" spans="1:11" x14ac:dyDescent="0.25">
      <c r="A14" t="s">
        <v>57</v>
      </c>
      <c r="B14" s="21">
        <f>1/(1+Assumptions!$B$26)^(1-0.5*Assumptions!$B$32)</f>
        <v>0.956349661785975</v>
      </c>
      <c r="C14" s="21">
        <f>1/(1+Assumptions!$B$26)^(2-0.5*Assumptions!$B$32)</f>
        <v>0.8746818721761612</v>
      </c>
      <c r="D14" s="21">
        <f>1/(1+Assumptions!$B$26)^(3-0.5*Assumptions!$B$32)</f>
        <v>0.7999881299532596</v>
      </c>
      <c r="E14" s="21">
        <f>1/(1+Assumptions!$B$26)^(4-0.5*Assumptions!$B$32)</f>
        <v>0.7316728840782709</v>
      </c>
      <c r="F14" s="21">
        <f>1/(1+Assumptions!$B$26)^(5-0.5*Assumptions!$B$32)</f>
        <v>0.669191440786369</v>
      </c>
      <c r="G14" s="21">
        <f>1/(1+Assumptions!$B$26)^(6-0.5*Assumptions!$B$32)</f>
        <v>0.612045620613475</v>
      </c>
      <c r="H14" s="21">
        <f>1/(1+Assumptions!$B$26)^(7-0.5*Assumptions!$B$32)</f>
        <v>0.5597797862924552</v>
      </c>
      <c r="I14" s="21">
        <f>1/(1+Assumptions!$B$26)^(8-0.5*Assumptions!$B$32)</f>
        <v>0.5119772098484121</v>
      </c>
      <c r="J14" s="21">
        <f>1/(1+Assumptions!$B$26)^(9-0.5*Assumptions!$B$32)</f>
        <v>0.4682567499270524</v>
      </c>
      <c r="K14" s="21">
        <f>1/(1+Assumptions!$B$26)^(10-0.5*Assumptions!$B$32)</f>
        <v>0.4282698128636754</v>
      </c>
    </row>
    <row r="15" spans="1:11" x14ac:dyDescent="0.25">
      <c r="A15" s="19" t="s">
        <v>58</v>
      </c>
      <c r="B15" s="20">
        <f>B13*B14</f>
        <v>1411659008.634919</v>
      </c>
      <c r="C15" s="20">
        <f>C13*C14</f>
        <v>1485815409.425997</v>
      </c>
      <c r="D15" s="20">
        <f>D13*D14</f>
        <v>1514262848.7498603</v>
      </c>
      <c r="E15" s="20">
        <f>E13*E14</f>
        <v>1522884741.736367</v>
      </c>
      <c r="F15" s="20">
        <f>F13*F14</f>
        <v>1511083273.7462935</v>
      </c>
      <c r="G15" s="20">
        <f>G13*G14</f>
        <v>1479073782.1665154</v>
      </c>
      <c r="H15" s="20">
        <f>H13*H14</f>
        <v>1427887615.434045</v>
      </c>
      <c r="I15" s="20">
        <f>I13*I14</f>
        <v>1359320160.3819811</v>
      </c>
      <c r="J15" s="20">
        <f>J13*J14</f>
        <v>1275827297.3668149</v>
      </c>
      <c r="K15" s="20">
        <f>K13*K14</f>
        <v>1180378454.1938503</v>
      </c>
    </row>
    <row r="17" spans="1:2" x14ac:dyDescent="0.25">
      <c r="A17" s="22" t="s">
        <v>59</v>
      </c>
      <c r="B17" s="23">
        <f>SUM(B15:K15)</f>
        <v>14168192591.836643</v>
      </c>
    </row>
    <row r="19" spans="1:11" x14ac:dyDescent="0.25">
      <c r="A19" t="s">
        <v>7</v>
      </c>
      <c r="B19" s="9">
        <f>Assumptions!$B$10+($B$20-Assumptions!$B$10)*0/9</f>
        <v>0.029358338056707376</v>
      </c>
      <c r="C19" s="9">
        <f>Assumptions!$B$10+($B$20-Assumptions!$B$10)*1/9</f>
        <v>0.033826049912211865</v>
      </c>
      <c r="D19" s="9">
        <f>Assumptions!$B$10+($B$20-Assumptions!$B$10)*2/9</f>
        <v>0.03829376176771636</v>
      </c>
      <c r="E19" s="9">
        <f>Assumptions!$B$10+($B$20-Assumptions!$B$10)*3/9</f>
        <v>0.042761473623220844</v>
      </c>
      <c r="F19" s="9">
        <f>Assumptions!$B$10+($B$20-Assumptions!$B$10)*4/9</f>
        <v>0.04722918547872534</v>
      </c>
      <c r="G19" s="9">
        <f>Assumptions!$B$10+($B$20-Assumptions!$B$10)*5/9</f>
        <v>0.05169689733422983</v>
      </c>
      <c r="H19" s="9">
        <f>Assumptions!$B$10+($B$20-Assumptions!$B$10)*6/9</f>
        <v>0.056164609189734316</v>
      </c>
      <c r="I19" s="9">
        <f>Assumptions!$B$10+($B$20-Assumptions!$B$10)*7/9</f>
        <v>0.060632321045238816</v>
      </c>
      <c r="J19" s="9">
        <f>Assumptions!$B$10+($B$20-Assumptions!$B$10)*8/9</f>
        <v>0.0651000329007433</v>
      </c>
      <c r="K19" s="9">
        <f>Assumptions!$B$10+($B$20-Assumptions!$B$10)*9/9</f>
        <v>0.06956774475624779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0.06956774475624779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2756156093.0505795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3187370565.629821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0.12294608349663905</v>
      </c>
    </row>
    <row r="7" spans="1:2" x14ac:dyDescent="0.25">
      <c r="A7" t="s">
        <v>66</v>
      </c>
      <c r="B7" s="18">
        <f>-MAX(B5,0)*B6</f>
        <v>-391874727.6966536</v>
      </c>
    </row>
    <row r="8" spans="1:2" x14ac:dyDescent="0.25">
      <c r="A8" t="s">
        <v>67</v>
      </c>
      <c r="B8" s="18">
        <f>IF(OR(Assumptions!$B$33=0,Assumptions!B12&lt;=0),B5,MAX(B5+B7,0))</f>
        <v>2795495837.9331675</v>
      </c>
    </row>
    <row r="9" spans="1:2" x14ac:dyDescent="0.25">
      <c r="A9" t="s">
        <v>68</v>
      </c>
      <c r="B9" s="18">
        <f>B8*(1+Assumptions!B12)/(Assumptions!B26-Assumptions!B12)</f>
        <v>41910830099.03548</v>
      </c>
    </row>
    <row r="10" spans="1:2" x14ac:dyDescent="0.25">
      <c r="A10" t="s">
        <v>69</v>
      </c>
      <c r="B10" s="18">
        <f>B9/(1+Assumptions!B26)^(10-0.5*Assumptions!B32)</f>
        <v>17949143363.475216</v>
      </c>
    </row>
    <row r="11" spans="1:2" x14ac:dyDescent="0.25">
      <c r="A11" t="s">
        <v>70</v>
      </c>
      <c r="B11" s="18">
        <f>Forecast!B17+B10</f>
        <v>32117335955.31186</v>
      </c>
    </row>
    <row r="12" spans="1:2" x14ac:dyDescent="0.25">
      <c r="A12" t="s">
        <v>71</v>
      </c>
      <c r="B12" s="18">
        <f>-Assumptions!B30</f>
        <v>539091000</v>
      </c>
    </row>
    <row r="13" spans="1:2" x14ac:dyDescent="0.25">
      <c r="A13" t="s">
        <v>72</v>
      </c>
      <c r="B13" s="18">
        <f>B11+B12</f>
        <v>32656426955.31186</v>
      </c>
    </row>
    <row r="14" spans="1:2" x14ac:dyDescent="0.25">
      <c r="A14" s="19" t="s">
        <v>73</v>
      </c>
      <c r="B14" s="24">
        <f>B13/Assumptions!B31</f>
        <v>119.4840583483779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4563414777.3298025</v>
      </c>
    </row>
    <row r="18" spans="1:2" x14ac:dyDescent="0.25">
      <c r="A18" t="s">
        <v>68</v>
      </c>
      <c r="B18" s="18">
        <f>B17*Assumptions!B13</f>
        <v>91268295546.59605</v>
      </c>
    </row>
    <row r="19" spans="1:2" x14ac:dyDescent="0.25">
      <c r="A19" t="s">
        <v>69</v>
      </c>
      <c r="B19" s="18">
        <f>B18/(1+Assumptions!B26)^(10-0.5*Assumptions!B32)</f>
        <v>39087455854.12731</v>
      </c>
    </row>
    <row r="20" spans="1:2" x14ac:dyDescent="0.25">
      <c r="A20" t="s">
        <v>70</v>
      </c>
      <c r="B20" s="18">
        <f>Forecast!B17+B19</f>
        <v>53255648445.96396</v>
      </c>
    </row>
    <row r="21" spans="1:2" x14ac:dyDescent="0.25">
      <c r="A21" t="s">
        <v>71</v>
      </c>
      <c r="B21" s="18">
        <f>-Assumptions!B30</f>
        <v>539091000</v>
      </c>
    </row>
    <row r="22" spans="1:2" x14ac:dyDescent="0.25">
      <c r="A22" t="s">
        <v>72</v>
      </c>
      <c r="B22" s="18">
        <f>B20+B21</f>
        <v>53794739445.96396</v>
      </c>
    </row>
    <row r="23" spans="1:2" x14ac:dyDescent="0.25">
      <c r="A23" s="19" t="s">
        <v>73</v>
      </c>
      <c r="B23" s="25">
        <f>B22/Assumptions!B31</f>
        <v>196.8253843444999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327.89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119.4840583483779</v>
      </c>
    </row>
    <row r="29" spans="1:2" x14ac:dyDescent="0.25">
      <c r="A29" s="19" t="s">
        <v>81</v>
      </c>
      <c r="B29" s="11">
        <f>B28/B26-1</f>
        <v>-0.6355971260228189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0.073369</v>
      </c>
      <c r="B5" s="31">
        <v>156.14385551853843</v>
      </c>
      <c r="C5" s="31">
        <v>162.06952106474856</v>
      </c>
      <c r="D5" s="31">
        <v>169.35026235691532</v>
      </c>
      <c r="E5" s="31">
        <v>178.45475831752591</v>
      </c>
      <c r="F5" s="31">
        <v>190.09598869655184</v>
      </c>
    </row>
    <row r="6" spans="1:6" x14ac:dyDescent="0.25">
      <c r="A6" s="30">
        <v>0.083369</v>
      </c>
      <c r="B6" s="31">
        <v>132.58218924698525</v>
      </c>
      <c r="C6" s="31">
        <v>136.0087190681954</v>
      </c>
      <c r="D6" s="31">
        <v>140.12403008383745</v>
      </c>
      <c r="E6" s="31">
        <v>145.12171254136737</v>
      </c>
      <c r="F6" s="31">
        <v>151.27540392819068</v>
      </c>
    </row>
    <row r="7" spans="1:6" x14ac:dyDescent="0.25">
      <c r="A7" s="30">
        <v>0.093369</v>
      </c>
      <c r="B7" s="31">
        <v>115.0939651142973</v>
      </c>
      <c r="C7" s="31">
        <v>117.1008089499818</v>
      </c>
      <c r="D7" s="32">
        <v>119.48328927283488</v>
      </c>
      <c r="E7" s="31">
        <v>122.33032254528341</v>
      </c>
      <c r="F7" s="31">
        <v>125.7612922456109</v>
      </c>
    </row>
    <row r="8" spans="1:6" x14ac:dyDescent="0.25">
      <c r="A8" s="30">
        <v>0.103369</v>
      </c>
      <c r="B8" s="31">
        <v>101.61366613166618</v>
      </c>
      <c r="C8" s="31">
        <v>102.7689979489626</v>
      </c>
      <c r="D8" s="31">
        <v>104.13951982495126</v>
      </c>
      <c r="E8" s="31">
        <v>105.76922651055392</v>
      </c>
      <c r="F8" s="31">
        <v>107.7149825517521</v>
      </c>
    </row>
    <row r="9" spans="1:6" x14ac:dyDescent="0.25">
      <c r="A9" s="30">
        <v>0.113369</v>
      </c>
      <c r="B9" s="31">
        <v>90.91594810161949</v>
      </c>
      <c r="C9" s="31">
        <v>91.54061263970993</v>
      </c>
      <c r="D9" s="31">
        <v>92.29287206220356</v>
      </c>
      <c r="E9" s="31">
        <v>93.19568362258843</v>
      </c>
      <c r="F9" s="31">
        <v>94.27786333317005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5296759000</v>
      </c>
      <c r="C5" s="18">
        <v>4641264000</v>
      </c>
      <c r="D5" s="18">
        <v>4089986000</v>
      </c>
      <c r="E5" s="18">
        <v>3561718000</v>
      </c>
      <c r="F5" s="6" t="s">
        <v>91</v>
      </c>
    </row>
    <row r="6" spans="1:6" x14ac:dyDescent="0.25">
      <c r="A6" t="s">
        <v>51</v>
      </c>
      <c r="B6" s="18">
        <v>1649781000</v>
      </c>
      <c r="C6" s="18">
        <v>1382850000</v>
      </c>
      <c r="D6" s="18">
        <v>1262238000</v>
      </c>
      <c r="E6" s="18">
        <v>1073741000</v>
      </c>
      <c r="F6" s="6" t="s">
        <v>92</v>
      </c>
    </row>
    <row r="7" spans="1:6" x14ac:dyDescent="0.25">
      <c r="A7" t="s">
        <v>93</v>
      </c>
      <c r="B7" s="18">
        <v>233844000</v>
      </c>
      <c r="C7" s="18">
        <v>195015000</v>
      </c>
      <c r="D7" s="18">
        <v>145743000</v>
      </c>
      <c r="E7" s="18">
        <v>135430000</v>
      </c>
      <c r="F7" s="6" t="s">
        <v>94</v>
      </c>
    </row>
    <row r="8" spans="1:6" x14ac:dyDescent="0.25">
      <c r="A8" t="s">
        <v>95</v>
      </c>
      <c r="B8" s="18">
        <v>141871000</v>
      </c>
      <c r="C8" s="18">
        <v>142542000</v>
      </c>
      <c r="D8" s="18">
        <v>102503000</v>
      </c>
      <c r="E8" s="18">
        <v>124215000</v>
      </c>
      <c r="F8" s="6" t="s">
        <v>96</v>
      </c>
    </row>
    <row r="9" spans="1:6" x14ac:dyDescent="0.25">
      <c r="A9" t="s">
        <v>97</v>
      </c>
      <c r="B9" s="18">
        <v>73251000</v>
      </c>
      <c r="C9" s="18">
        <v>208975000</v>
      </c>
      <c r="D9" s="18">
        <v>98778000</v>
      </c>
      <c r="E9" s="18">
        <v>-87545000</v>
      </c>
      <c r="F9" s="6" t="s">
        <v>98</v>
      </c>
    </row>
    <row r="10" spans="1:6" x14ac:dyDescent="0.25">
      <c r="A10" t="s">
        <v>99</v>
      </c>
      <c r="B10" s="18">
        <v>2616439000</v>
      </c>
      <c r="C10" s="18">
        <v>2585076000</v>
      </c>
      <c r="D10" s="18">
        <v>764414000</v>
      </c>
      <c r="E10" s="18">
        <v>887415000</v>
      </c>
      <c r="F10" s="6" t="s">
        <v>100</v>
      </c>
    </row>
    <row r="11" spans="1:6" x14ac:dyDescent="0.25">
      <c r="A11" t="s">
        <v>101</v>
      </c>
      <c r="B11" s="18">
        <v>3155530000</v>
      </c>
      <c r="C11" s="18">
        <v>2784655000</v>
      </c>
      <c r="D11" s="18">
        <v>1138511000</v>
      </c>
      <c r="E11" s="18">
        <v>886815000</v>
      </c>
      <c r="F11" s="6" t="s">
        <v>102</v>
      </c>
    </row>
    <row r="12" spans="1:6" x14ac:dyDescent="0.25">
      <c r="A12" t="s">
        <v>34</v>
      </c>
      <c r="B12" s="34">
        <v>273312000</v>
      </c>
      <c r="C12" s="34">
        <v>273833000</v>
      </c>
      <c r="D12" s="34">
        <v>272748000</v>
      </c>
      <c r="E12" s="34">
        <v>275011000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