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<sst xmlns="http://schemas.openxmlformats.org/spreadsheetml/2006/main" count="120" uniqueCount="107">
  <si>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CDW Corporation (CDW)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</si>
  <si>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</si>
  <si>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</si>
  <si>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</si>
  <si>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</si>
  <si>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</si>
  <si>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</si>
  <si>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</si>
  <si>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</si>
  <si>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</si>
  <si>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</si>
  <si>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</si>
  <si>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</si>
  <si>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</si>
  <si>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</si>
  <si>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</si>
  <si>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</si>
  <si>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</si>
  <si>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</si>
  <si>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</si>
  <si>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</si>
  <si>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</si>
  <si>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</si>
  <si>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</si>
  <si>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7.3x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</si>
  <si>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</si>
  <si>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</si>
  <si>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</si>
  <si>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</si>
  <si>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</si>
  <si>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</si>
  <si>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</si>
  <si>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</si>
  <si>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</si>
  <si>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</si>
  <si>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</si>
  <si>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</si>
  <si>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</si>
  <si>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</si>
  <si>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</si>
  <si>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</si>
  <si>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</si>
  <si>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</si>
  <si>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</si>
  <si>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</si>
  <si>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</si>
  <si>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</si>
  <si>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</si>
  <si>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</si>
  <si>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</si>
  <si>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</si>
  <si>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</si>
  <si>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</si>
  <si>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</si>
  <si>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</si>
  <si>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</si>
  <si>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</si>
  <si>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</si>
  <si>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</si>
  <si>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</si>
  <si>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</si>
  <si>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</si>
  <si>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</si>
  <si>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</si>
  <si>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</si>
  <si>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</si>
  <si>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</si>
  <si>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</si>
  <si>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</si>
  <si>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</si>
  <si>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</si>
  <si>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</si>
  <si>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</si>
  <si>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</si>
  <si>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</si>
  <si>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</si>
  <si>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</si>
  <si>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</si>
  <si>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</si>
  <si>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</si>
  <si>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</si>
  <si>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</si>
  <si>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</si>
  <si>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</si>
  <si>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</si>
  <si>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</si>
  <si>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</si>
  <si>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</si>
  <si>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</si>
  <si>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</si>
  <si>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</si>
  <si>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</si>
  <si>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</si>
  <si>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</si>
  <si>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</si>
  <si>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</si>
  <si>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</si>
  <si>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</si>
  <si>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</si>
  <si>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</si>
  <si>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</si>
  <si>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</si>
  <si>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</si>
  <si>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</si>
  <si>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</si>
  <si>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0.58%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</si>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</sst>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0.08380929223469402</v>
      </c>
    </row>
    <row r="7" spans="1:2" x14ac:dyDescent="0.25">
      <c r="A7" t="s">
        <v>4</v>
      </c>
      <c r="B7" s="5">
        <v>0.07604236269953522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0.01279819389442886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0.11126497859245149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12.502731365313654</v>
      </c>
    </row>
    <row r="14" spans="1:3" x14ac:dyDescent="0.25">
      <c r="A14" t="s">
        <v>12</v>
      </c>
      <c r="B14" s="5">
        <v>0.16595732423811926</v>
      </c>
      <c r="C14" s="6" t="s">
        <v>13</v>
      </c>
    </row>
    <row r="15" spans="1:3" x14ac:dyDescent="0.25">
      <c r="A15" t="s">
        <v>14</v>
      </c>
      <c r="B15" s="5">
        <v>0.0023848483948514325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0.9604699999999999</v>
      </c>
      <c r="C19" s="6" t="s">
        <v>21</v>
      </c>
    </row>
    <row r="20" spans="1:2" x14ac:dyDescent="0.25">
      <c r="A20" t="s">
        <v>22</v>
      </c>
      <c r="B20" s="9">
        <f>B17+B19*B18</f>
        <v>0.089567881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19226429440</v>
      </c>
    </row>
    <row r="23" spans="1:2" x14ac:dyDescent="0.25">
      <c r="A23" t="s">
        <v>26</v>
      </c>
      <c r="B23" s="10">
        <v>5787600000</v>
      </c>
    </row>
    <row r="24" spans="1:2" x14ac:dyDescent="0.25">
      <c r="A24" t="s">
        <v>27</v>
      </c>
      <c r="B24" s="9">
        <f>B22/(B22+B23)</f>
        <v>0.7686258419946914</v>
      </c>
    </row>
    <row r="25" spans="1:2" x14ac:dyDescent="0.25">
      <c r="A25" t="s">
        <v>28</v>
      </c>
      <c r="B25" s="9">
        <f>1-B24</f>
        <v>0.23137415800530858</v>
      </c>
    </row>
    <row r="26" spans="1:2" x14ac:dyDescent="0.25">
      <c r="A26" t="s">
        <v>29</v>
      </c>
      <c r="B26" s="11">
        <f>B24*B20+B25*B21*(1-B8)</f>
        <v>0.07879503518713445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22424100000</v>
      </c>
      <c r="C29" s="6" t="s">
        <v>32</v>
      </c>
    </row>
    <row r="30" spans="1:2" x14ac:dyDescent="0.25">
      <c r="A30" t="s">
        <v>33</v>
      </c>
      <c r="B30" s="10">
        <v>5168900000</v>
      </c>
    </row>
    <row r="31" spans="1:2" x14ac:dyDescent="0.25">
      <c r="A31" t="s">
        <v>34</v>
      </c>
      <c r="B31" s="12">
        <v>132100000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0.08380929223469402</v>
      </c>
      <c r="C5" s="5">
        <v>0.03874023109548119</v>
      </c>
      <c r="D5" s="5">
        <v>0.037022702208546046</v>
      </c>
      <c r="E5" s="5">
        <v>0.03530517332161089</v>
      </c>
      <c r="F5" s="5">
        <v>0.03358764443467575</v>
      </c>
      <c r="G5" s="5">
        <v>0.03187011554774059</v>
      </c>
      <c r="H5" s="5">
        <v>0.030152586660805447</v>
      </c>
      <c r="I5" s="5">
        <v>0.0284350577738703</v>
      </c>
      <c r="J5" s="5">
        <v>0.02671752888693515</v>
      </c>
      <c r="K5" s="5">
        <v>0.025</v>
      </c>
    </row>
    <row r="6" spans="1:11" x14ac:dyDescent="0.25">
      <c r="A6" t="s">
        <v>50</v>
      </c>
      <c r="B6" s="18">
        <f>Assumptions!B29*(1+B5)</f>
        <v>24303447950.000004</v>
      </c>
      <c r="C6" s="18">
        <f>B6*(1+C5)</f>
        <v>25244969140.000004</v>
      </c>
      <c r="D6" s="18">
        <f>C6*(1+D5)</f>
        <v>26179606114.73416</v>
      </c>
      <c r="E6" s="18">
        <f>D6*(1+E5)</f>
        <v>27103881646.106358</v>
      </c>
      <c r="F6" s="18">
        <f>E6*(1+F5)</f>
        <v>28014237185.63531</v>
      </c>
      <c r="G6" s="18">
        <f>F6*(1+G5)</f>
        <v>28907054161.72332</v>
      </c>
      <c r="H6" s="18">
        <f>G6*(1+H5)</f>
        <v>29778676617.44328</v>
      </c>
      <c r="I6" s="18">
        <f>H6*(1+I5)</f>
        <v>30625435007.48968</v>
      </c>
      <c r="J6" s="18">
        <f>I6*(1+J5)</f>
        <v>31443670951.977245</v>
      </c>
      <c r="K6" s="18">
        <f>J6*(1+K5)</f>
        <v>32229762725.776672</v>
      </c>
    </row>
    <row r="7" spans="1:11" x14ac:dyDescent="0.25">
      <c r="A7" t="s">
        <v>4</v>
      </c>
      <c r="B7" s="9">
        <f>Assumptions!B7</f>
        <v>0.07604236269953522</v>
      </c>
      <c r="C7" s="9">
        <f>Assumptions!B7</f>
        <v>0.07604236269953522</v>
      </c>
      <c r="D7" s="9">
        <f>Assumptions!B7</f>
        <v>0.07604236269953522</v>
      </c>
      <c r="E7" s="9">
        <f>Assumptions!B7</f>
        <v>0.07604236269953522</v>
      </c>
      <c r="F7" s="9">
        <f>Assumptions!B7</f>
        <v>0.07604236269953522</v>
      </c>
      <c r="G7" s="9">
        <f>Assumptions!B7</f>
        <v>0.07604236269953522</v>
      </c>
      <c r="H7" s="9">
        <f>Assumptions!B7</f>
        <v>0.07604236269953522</v>
      </c>
      <c r="I7" s="9">
        <f>Assumptions!B7</f>
        <v>0.07604236269953522</v>
      </c>
      <c r="J7" s="9">
        <f>Assumptions!B7</f>
        <v>0.07604236269953522</v>
      </c>
      <c r="K7" s="9">
        <f>Assumptions!B7</f>
        <v>0.07604236269953522</v>
      </c>
    </row>
    <row r="8" spans="1:11" x14ac:dyDescent="0.25">
      <c r="A8" t="s">
        <v>51</v>
      </c>
      <c r="B8" s="18">
        <f>B6*B7</f>
        <v>1848091603.863176</v>
      </c>
      <c r="C8" s="18">
        <f>C6*C7</f>
        <v>1919687099.682454</v>
      </c>
      <c r="D8" s="18">
        <f>D6*D7</f>
        <v>1990759103.5075853</v>
      </c>
      <c r="E8" s="18">
        <f>E6*E7</f>
        <v>2061043198.6984954</v>
      </c>
      <c r="F8" s="18">
        <f>F6*F7</f>
        <v>2130268784.820887</v>
      </c>
      <c r="G8" s="18">
        <f>G6*G7</f>
        <v>2198160697.140874</v>
      </c>
      <c r="H8" s="18">
        <f>H6*H7</f>
        <v>2264440928.0557904</v>
      </c>
      <c r="I8" s="18">
        <f>I6*I7</f>
        <v>2328830436.6705737</v>
      </c>
      <c r="J8" s="18">
        <f>J6*J7</f>
        <v>2391051031.1350937</v>
      </c>
      <c r="K8" s="18">
        <f>K6*K7</f>
        <v>2450827306.9134707</v>
      </c>
    </row>
    <row r="9" spans="1:11" x14ac:dyDescent="0.25">
      <c r="A9" t="s">
        <v>52</v>
      </c>
      <c r="B9" s="18">
        <f>B8*(1-Assumptions!B8)</f>
        <v>1459992367.0519092</v>
      </c>
      <c r="C9" s="18">
        <f>C8*(1-Assumptions!B8)</f>
        <v>1516552808.7491388</v>
      </c>
      <c r="D9" s="18">
        <f>D8*(1-Assumptions!B8)</f>
        <v>1572699691.7709925</v>
      </c>
      <c r="E9" s="18">
        <f>E8*(1-Assumptions!B8)</f>
        <v>1628224126.9718115</v>
      </c>
      <c r="F9" s="18">
        <f>F8*(1-Assumptions!B8)</f>
        <v>1682912340.0085008</v>
      </c>
      <c r="G9" s="18">
        <f>G8*(1-Assumptions!B8)</f>
        <v>1736546950.7412906</v>
      </c>
      <c r="H9" s="18">
        <f>H8*(1-Assumptions!B8)</f>
        <v>1788908333.1640744</v>
      </c>
      <c r="I9" s="18">
        <f>I8*(1-Assumptions!B8)</f>
        <v>1839776044.9697533</v>
      </c>
      <c r="J9" s="18">
        <f>J8*(1-Assumptions!B8)</f>
        <v>1888930314.596724</v>
      </c>
      <c r="K9" s="18">
        <f>K8*(1-Assumptions!B8)</f>
        <v>1936153572.461642</v>
      </c>
    </row>
    <row r="10" spans="1:11" x14ac:dyDescent="0.25">
      <c r="A10" t="s">
        <v>53</v>
      </c>
      <c r="B10" s="18">
        <f>B6*Assumptions!B9</f>
        <v>311040239.16725963</v>
      </c>
      <c r="C10" s="18">
        <f>C6*Assumptions!B9</f>
        <v>323090009.91259307</v>
      </c>
      <c r="D10" s="18">
        <f>D6*Assumptions!B9</f>
        <v>335051675.1361432</v>
      </c>
      <c r="E10" s="18">
        <f>E6*Assumptions!B9</f>
        <v>346880732.5985208</v>
      </c>
      <c r="F10" s="18">
        <f>F6*Assumptions!B9</f>
        <v>358531639.3062798</v>
      </c>
      <c r="G10" s="18">
        <f>G6*Assumptions!B9</f>
        <v>369958084.07849175</v>
      </c>
      <c r="H10" s="18">
        <f>H6*Assumptions!B9</f>
        <v>381113277.26953405</v>
      </c>
      <c r="I10" s="18">
        <f>I6*Assumptions!B9</f>
        <v>391950255.32708234</v>
      </c>
      <c r="J10" s="18">
        <f>J6*Assumptions!B9</f>
        <v>402422197.5960253</v>
      </c>
      <c r="K10" s="18">
        <f>K6*Assumptions!B9</f>
        <v>412482752.53592587</v>
      </c>
    </row>
    <row r="11" spans="1:11" x14ac:dyDescent="0.25">
      <c r="A11" t="s">
        <v>54</v>
      </c>
      <c r="B11" s="18">
        <f>-B6*B19</f>
        <v>-243034479.50000003</v>
      </c>
      <c r="C11" s="18">
        <f>-C6*C19</f>
        <v>-259949240.95344087</v>
      </c>
      <c r="D11" s="18">
        <f>-D6*D19</f>
        <v>-277350467.4338538</v>
      </c>
      <c r="E11" s="18">
        <f>-E6*E19</f>
        <v>-295194152.405622</v>
      </c>
      <c r="F11" s="18">
        <f>-F6*F19</f>
        <v>-313431247.5623056</v>
      </c>
      <c r="G11" s="18">
        <f>-G6*G19</f>
        <v>-332007786.64367765</v>
      </c>
      <c r="H11" s="18">
        <f>-H6*H19</f>
        <v>-350865063.0081295</v>
      </c>
      <c r="I11" s="18">
        <f>-I6*I19</f>
        <v>-369939861.5573819</v>
      </c>
      <c r="J11" s="18">
        <f>-J6*J19</f>
        <v>-389164744.9199983</v>
      </c>
      <c r="K11" s="18">
        <f>-K6*K19</f>
        <v>-408468393.07865214</v>
      </c>
    </row>
    <row r="12" spans="1:11" x14ac:dyDescent="0.25">
      <c r="A12" t="s">
        <v>55</v>
      </c>
      <c r="B12" s="18">
        <f>-(B6-Assumptions!B29)*Assumptions!B11</f>
        <v>-209105609.42451802</v>
      </c>
      <c r="C12" s="18">
        <f>-(C6-B6)*Assumptions!B11</f>
        <v>-104758335.04968946</v>
      </c>
      <c r="D12" s="18">
        <f>-(D6-C6)*Assumptions!B11</f>
        <v>-103992362.98550966</v>
      </c>
      <c r="E12" s="18">
        <f>-(E6-D6)*Assumptions!B11</f>
        <v>-102839497.21165414</v>
      </c>
      <c r="F12" s="18">
        <f>-(F6-E6)*Assumptions!B11</f>
        <v>-101290689.61720864</v>
      </c>
      <c r="G12" s="18">
        <f>-(G6-F6)*Assumptions!B11</f>
        <v>-99339261.73140958</v>
      </c>
      <c r="H12" s="18">
        <f>-(H6-G6)*Assumptions!B11</f>
        <v>-96981053.87638126</v>
      </c>
      <c r="I12" s="18">
        <f>-(I6-H6)*Assumptions!B11</f>
        <v>-94214554.1414916</v>
      </c>
      <c r="J12" s="18">
        <f>-(J6-I6)*Assumptions!B11</f>
        <v>-91041004.84698315</v>
      </c>
      <c r="K12" s="18">
        <f>-(K6-J6)*Assumptions!B11</f>
        <v>-87464484.38349546</v>
      </c>
    </row>
    <row r="13" spans="1:11" x14ac:dyDescent="0.25">
      <c r="A13" s="19" t="s">
        <v>56</v>
      </c>
      <c r="B13" s="20">
        <f>B9+B10+B11+B12</f>
        <v>1318892517.2946508</v>
      </c>
      <c r="C13" s="20">
        <f>C9+C10+C11+C12</f>
        <v>1474935242.6586015</v>
      </c>
      <c r="D13" s="20">
        <f>D9+D10+D11+D12</f>
        <v>1526408536.4877722</v>
      </c>
      <c r="E13" s="20">
        <f>E9+E10+E11+E12</f>
        <v>1577071209.953056</v>
      </c>
      <c r="F13" s="20">
        <f>F9+F10+F11+F12</f>
        <v>1626722042.1352663</v>
      </c>
      <c r="G13" s="20">
        <f>G9+G10+G11+G12</f>
        <v>1675157986.444695</v>
      </c>
      <c r="H13" s="20">
        <f>H9+H10+H11+H12</f>
        <v>1722175493.5490978</v>
      </c>
      <c r="I13" s="20">
        <f>I9+I10+I11+I12</f>
        <v>1767571884.597962</v>
      </c>
      <c r="J13" s="20">
        <f>J9+J10+J11+J12</f>
        <v>1811146762.4257681</v>
      </c>
      <c r="K13" s="20">
        <f>K9+K10+K11+K12</f>
        <v>1852703447.5354204</v>
      </c>
    </row>
    <row r="14" spans="1:11" x14ac:dyDescent="0.25">
      <c r="A14" t="s">
        <v>57</v>
      </c>
      <c r="B14" s="21">
        <f>1/(1+Assumptions!$B$26)^(1-0.5*Assumptions!$B$32)</f>
        <v>0.9627876935864077</v>
      </c>
      <c r="C14" s="21">
        <f>1/(1+Assumptions!$B$26)^(2-0.5*Assumptions!$B$32)</f>
        <v>0.8924658180498546</v>
      </c>
      <c r="D14" s="21">
        <f>1/(1+Assumptions!$B$26)^(3-0.5*Assumptions!$B$32)</f>
        <v>0.827280242251988</v>
      </c>
      <c r="E14" s="21">
        <f>1/(1+Assumptions!$B$26)^(4-0.5*Assumptions!$B$32)</f>
        <v>0.7668558115939818</v>
      </c>
      <c r="F14" s="21">
        <f>1/(1+Assumptions!$B$26)^(5-0.5*Assumptions!$B$32)</f>
        <v>0.7108447727152899</v>
      </c>
      <c r="G14" s="21">
        <f>1/(1+Assumptions!$B$26)^(6-0.5*Assumptions!$B$32)</f>
        <v>0.6589247721111195</v>
      </c>
      <c r="H14" s="21">
        <f>1/(1+Assumptions!$B$26)^(7-0.5*Assumptions!$B$32)</f>
        <v>0.610797000930597</v>
      </c>
      <c r="I14" s="21">
        <f>1/(1+Assumptions!$B$26)^(8-0.5*Assumptions!$B$32)</f>
        <v>0.5661844752786096</v>
      </c>
      <c r="J14" s="21">
        <f>1/(1+Assumptions!$B$26)^(9-0.5*Assumptions!$B$32)</f>
        <v>0.5248304421241573</v>
      </c>
      <c r="K14" s="21">
        <f>1/(1+Assumptions!$B$26)^(10-0.5*Assumptions!$B$32)</f>
        <v>0.48649690164092846</v>
      </c>
    </row>
    <row r="15" spans="1:11" x14ac:dyDescent="0.25">
      <c r="A15" s="19" t="s">
        <v>58</v>
      </c>
      <c r="B15" s="20">
        <f>B13*B14</f>
        <v>1269813484.8144882</v>
      </c>
      <c r="C15" s="20">
        <f>C13*C14</f>
        <v>1316329287.9098697</v>
      </c>
      <c r="D15" s="20">
        <f>D13*D14</f>
        <v>1262767623.8411067</v>
      </c>
      <c r="E15" s="20">
        <f>E13*E14</f>
        <v>1209386222.6500537</v>
      </c>
      <c r="F15" s="20">
        <f>F13*F14</f>
        <v>1156346860.3125956</v>
      </c>
      <c r="G15" s="20">
        <f>G13*G14</f>
        <v>1103803094.4681926</v>
      </c>
      <c r="H15" s="20">
        <f>H13*H14</f>
        <v>1051899626.5359596</v>
      </c>
      <c r="I15" s="20">
        <f>I13*I14</f>
        <v>1000771759.9983201</v>
      </c>
      <c r="J15" s="20">
        <f>J13*J14</f>
        <v>950544956.075652</v>
      </c>
      <c r="K15" s="20">
        <f>K13*K14</f>
        <v>901334486.8854485</v>
      </c>
    </row>
    <row r="17" spans="1:2" x14ac:dyDescent="0.25">
      <c r="A17" s="22" t="s">
        <v>59</v>
      </c>
      <c r="B17" s="23">
        <f>SUM(B15:K15)</f>
        <v>11222997403.491684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0.010297071052527373</v>
      </c>
      <c r="D19" s="9">
        <f>Assumptions!$B$10+($B$20-Assumptions!$B$10)*2/9</f>
        <v>0.010594142105054744</v>
      </c>
      <c r="E19" s="9">
        <f>Assumptions!$B$10+($B$20-Assumptions!$B$10)*3/9</f>
        <v>0.010891213157582116</v>
      </c>
      <c r="F19" s="9">
        <f>Assumptions!$B$10+($B$20-Assumptions!$B$10)*4/9</f>
        <v>0.011188284210109489</v>
      </c>
      <c r="G19" s="9">
        <f>Assumptions!$B$10+($B$20-Assumptions!$B$10)*5/9</f>
        <v>0.01148535526263686</v>
      </c>
      <c r="H19" s="9">
        <f>Assumptions!$B$10+($B$20-Assumptions!$B$10)*6/9</f>
        <v>0.011782426315164232</v>
      </c>
      <c r="I19" s="9">
        <f>Assumptions!$B$10+($B$20-Assumptions!$B$10)*7/9</f>
        <v>0.012079497367691604</v>
      </c>
      <c r="J19" s="9">
        <f>Assumptions!$B$10+($B$20-Assumptions!$B$10)*8/9</f>
        <v>0.012376568420218975</v>
      </c>
      <c r="K19" s="9">
        <f>Assumptions!$B$10+($B$20-Assumptions!$B$10)*9/9</f>
        <v>0.012673639472746348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0.012673639472746348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1852703447.5354204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2201293099.621645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0.15064113689932385</v>
      </c>
    </row>
    <row r="7" spans="1:2" x14ac:dyDescent="0.25">
      <c r="A7" t="s">
        <v>66</v>
      </c>
      <c r="B7" s="18">
        <f>-MAX(B5,0)*B6</f>
        <v>-331605295.1756411</v>
      </c>
    </row>
    <row r="8" spans="1:2" x14ac:dyDescent="0.25">
      <c r="A8" t="s">
        <v>67</v>
      </c>
      <c r="B8" s="18">
        <f>IF(OR(Assumptions!$B$33=0,Assumptions!B12&lt;=0),B5,MAX(B5+B7,0))</f>
        <v>1869687804.446004</v>
      </c>
    </row>
    <row r="9" spans="1:2" x14ac:dyDescent="0.25">
      <c r="A9" t="s">
        <v>68</v>
      </c>
      <c r="B9" s="18">
        <f>B8*(1+Assumptions!B12)/(Assumptions!B26-Assumptions!B12)</f>
        <v>35624662998.92829</v>
      </c>
    </row>
    <row r="10" spans="1:2" x14ac:dyDescent="0.25">
      <c r="A10" t="s">
        <v>69</v>
      </c>
      <c r="B10" s="18">
        <f>B9/(1+Assumptions!B26)^(10-0.5*Assumptions!B32)</f>
        <v>17331288170.98084</v>
      </c>
    </row>
    <row r="11" spans="1:2" x14ac:dyDescent="0.25">
      <c r="A11" t="s">
        <v>70</v>
      </c>
      <c r="B11" s="18">
        <f>Forecast!B17+B10</f>
        <v>28554285574.472523</v>
      </c>
    </row>
    <row r="12" spans="1:2" x14ac:dyDescent="0.25">
      <c r="A12" t="s">
        <v>71</v>
      </c>
      <c r="B12" s="18">
        <f>-Assumptions!B30</f>
        <v>-5168900000</v>
      </c>
    </row>
    <row r="13" spans="1:2" x14ac:dyDescent="0.25">
      <c r="A13" t="s">
        <v>72</v>
      </c>
      <c r="B13" s="18">
        <f>B11+B12</f>
        <v>23385385574.472523</v>
      </c>
    </row>
    <row r="14" spans="1:2" x14ac:dyDescent="0.25">
      <c r="A14" s="19" t="s">
        <v>73</v>
      </c>
      <c r="B14" s="24">
        <f>B13/Assumptions!B31</f>
        <v>177.02789988245664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2863310059.4493966</v>
      </c>
    </row>
    <row r="18" spans="1:2" x14ac:dyDescent="0.25">
      <c r="A18" t="s">
        <v>68</v>
      </c>
      <c r="B18" s="18">
        <f>B17*Assumptions!B13</f>
        <v>35799196488.89607</v>
      </c>
    </row>
    <row r="19" spans="1:2" x14ac:dyDescent="0.25">
      <c r="A19" t="s">
        <v>69</v>
      </c>
      <c r="B19" s="18">
        <f>B18/(1+Assumptions!B26)^(10-0.5*Assumptions!B32)</f>
        <v>17416198173.082745</v>
      </c>
    </row>
    <row r="20" spans="1:2" x14ac:dyDescent="0.25">
      <c r="A20" t="s">
        <v>70</v>
      </c>
      <c r="B20" s="18">
        <f>Forecast!B17+B19</f>
        <v>28639195576.57443</v>
      </c>
    </row>
    <row r="21" spans="1:2" x14ac:dyDescent="0.25">
      <c r="A21" t="s">
        <v>71</v>
      </c>
      <c r="B21" s="18">
        <f>-Assumptions!B30</f>
        <v>-5168900000</v>
      </c>
    </row>
    <row r="22" spans="1:2" x14ac:dyDescent="0.25">
      <c r="A22" t="s">
        <v>72</v>
      </c>
      <c r="B22" s="18">
        <f>B20+B21</f>
        <v>23470295576.57443</v>
      </c>
    </row>
    <row r="23" spans="1:2" x14ac:dyDescent="0.25">
      <c r="A23" s="19" t="s">
        <v>73</v>
      </c>
      <c r="B23" s="25">
        <f>B22/Assumptions!B31</f>
        <v>177.67067052668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153.79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177.02789988245664</v>
      </c>
    </row>
    <row r="29" spans="1:2" x14ac:dyDescent="0.25">
      <c r="A29" s="19" t="s">
        <v>81</v>
      </c>
      <c r="B29" s="11">
        <f>B28/B26-1</f>
        <v>0.15110150128393673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0.058795</v>
      </c>
      <c r="B5" s="31">
        <v>261.01392511468555</v>
      </c>
      <c r="C5" s="31">
        <v>279.20889713172187</v>
      </c>
      <c r="D5" s="31">
        <v>303.1693698178581</v>
      </c>
      <c r="E5" s="31">
        <v>335.8987295261591</v>
      </c>
      <c r="F5" s="31">
        <v>382.9247470207547</v>
      </c>
    </row>
    <row r="6" spans="1:6" x14ac:dyDescent="0.25">
      <c r="A6" s="30">
        <v>0.068795</v>
      </c>
      <c r="B6" s="31">
        <v>204.6019612119514</v>
      </c>
      <c r="C6" s="31">
        <v>213.94029723863738</v>
      </c>
      <c r="D6" s="31">
        <v>225.6891061526841</v>
      </c>
      <c r="E6" s="31">
        <v>240.78039190590002</v>
      </c>
      <c r="F6" s="31">
        <v>260.6977216705751</v>
      </c>
    </row>
    <row r="7" spans="1:6" x14ac:dyDescent="0.25">
      <c r="A7" s="30">
        <v>0.078795</v>
      </c>
      <c r="B7" s="31">
        <v>165.94780223316587</v>
      </c>
      <c r="C7" s="31">
        <v>170.91880889036753</v>
      </c>
      <c r="D7" s="32">
        <v>177.02803925560684</v>
      </c>
      <c r="E7" s="31">
        <v>184.6253930239462</v>
      </c>
      <c r="F7" s="31">
        <v>194.2205596815483</v>
      </c>
    </row>
    <row r="8" spans="1:6" x14ac:dyDescent="0.25">
      <c r="A8" s="30">
        <v>0.088795</v>
      </c>
      <c r="B8" s="31">
        <v>137.82736138530018</v>
      </c>
      <c r="C8" s="31">
        <v>140.4397925871066</v>
      </c>
      <c r="D8" s="31">
        <v>143.63264260147255</v>
      </c>
      <c r="E8" s="31">
        <v>147.55399004372907</v>
      </c>
      <c r="F8" s="31">
        <v>152.40696645804124</v>
      </c>
    </row>
    <row r="9" spans="1:6" x14ac:dyDescent="0.25">
      <c r="A9" s="30">
        <v>0.098795</v>
      </c>
      <c r="B9" s="31">
        <v>116.46540315733489</v>
      </c>
      <c r="C9" s="31">
        <v>117.7253867930748</v>
      </c>
      <c r="D9" s="31">
        <v>119.29606875692744</v>
      </c>
      <c r="E9" s="31">
        <v>121.24519343324764</v>
      </c>
      <c r="F9" s="31">
        <v>123.66174335494567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22424100000</v>
      </c>
      <c r="C5" s="18">
        <v>20998700000</v>
      </c>
      <c r="D5" s="18">
        <v>21376000000</v>
      </c>
      <c r="E5" s="18">
        <v>23748700000</v>
      </c>
      <c r="F5" s="6" t="s">
        <v>91</v>
      </c>
    </row>
    <row r="6" spans="1:6" x14ac:dyDescent="0.25">
      <c r="A6" t="s">
        <v>51</v>
      </c>
      <c r="B6" s="18">
        <v>1655600000</v>
      </c>
      <c r="C6" s="18">
        <v>1651300000</v>
      </c>
      <c r="D6" s="18">
        <v>1680900000</v>
      </c>
      <c r="E6" s="18">
        <v>1735200000</v>
      </c>
      <c r="F6" s="6" t="s">
        <v>92</v>
      </c>
    </row>
    <row r="7" spans="1:6" x14ac:dyDescent="0.25">
      <c r="A7" t="s">
        <v>93</v>
      </c>
      <c r="B7" s="18">
        <v>295600000</v>
      </c>
      <c r="C7" s="18">
        <v>275300000</v>
      </c>
      <c r="D7" s="18">
        <v>270700000</v>
      </c>
      <c r="E7" s="18">
        <v>290600000</v>
      </c>
      <c r="F7" s="6" t="s">
        <v>94</v>
      </c>
    </row>
    <row r="8" spans="1:6" x14ac:dyDescent="0.25">
      <c r="A8" t="s">
        <v>95</v>
      </c>
      <c r="B8" s="18">
        <v>117100000</v>
      </c>
      <c r="C8" s="18">
        <v>122600000</v>
      </c>
      <c r="D8" s="18">
        <v>148200000</v>
      </c>
      <c r="E8" s="18">
        <v>127800000</v>
      </c>
      <c r="F8" s="6" t="s">
        <v>96</v>
      </c>
    </row>
    <row r="9" spans="1:6" x14ac:dyDescent="0.25">
      <c r="A9" t="s">
        <v>97</v>
      </c>
      <c r="B9" s="18">
        <v>286300000</v>
      </c>
      <c r="C9" s="18">
        <v>162700000</v>
      </c>
      <c r="D9" s="18">
        <v>-118800000</v>
      </c>
      <c r="E9" s="18">
        <v>166600000</v>
      </c>
      <c r="F9" s="6" t="s">
        <v>98</v>
      </c>
    </row>
    <row r="10" spans="1:6" x14ac:dyDescent="0.25">
      <c r="A10" t="s">
        <v>99</v>
      </c>
      <c r="B10" s="18">
        <v>5787600000</v>
      </c>
      <c r="C10" s="18">
        <v>5991900000</v>
      </c>
      <c r="D10" s="18">
        <v>5808900000</v>
      </c>
      <c r="E10" s="18">
        <v>6097900000</v>
      </c>
      <c r="F10" s="6" t="s">
        <v>100</v>
      </c>
    </row>
    <row r="11" spans="1:6" x14ac:dyDescent="0.25">
      <c r="A11" t="s">
        <v>101</v>
      </c>
      <c r="B11" s="18">
        <v>618700000</v>
      </c>
      <c r="C11" s="18">
        <v>717700000</v>
      </c>
      <c r="D11" s="18">
        <v>588700000</v>
      </c>
      <c r="E11" s="18">
        <v>315200000</v>
      </c>
      <c r="F11" s="6" t="s">
        <v>102</v>
      </c>
    </row>
    <row r="12" spans="1:6" x14ac:dyDescent="0.25">
      <c r="A12" t="s">
        <v>34</v>
      </c>
      <c r="B12" s="34">
        <v>132100000</v>
      </c>
      <c r="C12" s="34">
        <v>135200000</v>
      </c>
      <c r="D12" s="34">
        <v>136300000</v>
      </c>
      <c r="E12" s="34">
        <v>137000000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