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<sst xmlns="http://schemas.openxmlformats.org/spreadsheetml/2006/main" count="112" uniqueCount="100">
  <si>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CDW Corporation (CDW)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</si>
  <si>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</si>
  <si>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</si>
  <si>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</si>
  <si>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</si>
  <si>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</si>
  <si>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</si>
  <si>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</si>
  <si>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</si>
  <si>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</si>
  <si>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</si>
  <si>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</si>
  <si>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</si>
  <si>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</si>
  <si>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</si>
  <si>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</si>
  <si>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</si>
  <si>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</si>
  <si>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</si>
  <si>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</si>
  <si>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</si>
  <si>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</si>
  <si>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</si>
  <si>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</si>
  <si>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</si>
  <si>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</si>
  <si>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</si>
  <si>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</si>
  <si>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</si>
  <si>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</si>
  <si>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</si>
  <si>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</si>
  <si>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</si>
  <si>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</si>
  <si>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</si>
  <si>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</si>
  <si>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</si>
  <si>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</si>
  <si>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</si>
  <si>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</si>
  <si>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</si>
  <si>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</si>
  <si>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</si>
  <si>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</si>
  <si>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</si>
  <si>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</si>
  <si>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</si>
  <si>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</si>
  <si>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</si>
  <si>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</si>
  <si>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</si>
  <si>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</si>
  <si>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</si>
  <si>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</si>
  <si>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</si>
  <si>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</si>
  <si>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</si>
  <si>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</si>
  <si>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</si>
  <si>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</si>
  <si>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</si>
  <si>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</si>
  <si>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</si>
  <si>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</si>
  <si>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</si>
  <si>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</si>
  <si>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</si>
  <si>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</si>
  <si>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</si>
  <si>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</si>
  <si>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</si>
  <si>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</si>
  <si>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</si>
  <si>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</si>
  <si>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</si>
  <si>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</si>
  <si>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</si>
  <si>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</si>
  <si>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</si>
  <si>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</si>
  <si>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</si>
  <si>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</si>
  <si>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</si>
  <si>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</si>
  <si>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</si>
  <si>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</si>
  <si>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</si>
  <si>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</si>
  <si>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</si>
  <si>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</si>
  <si>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</si>
  <si>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</si>
  <si>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</si>
  <si>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</si>
  <si>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</si>
  <si>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</si>
  <si>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</si>
  <si>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</si>
  <si>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0.58%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</si>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</sst>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-0.01894867945091694</v>
      </c>
    </row>
    <row r="7" spans="1:2" x14ac:dyDescent="0.25">
      <c r="A7" t="s">
        <v>5</v>
      </c>
      <c r="B7" s="6">
        <v>0.07604236269953522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0.01279819389442886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0.05006954102920723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12.015783468634686</v>
      </c>
    </row>
    <row r="14" spans="1:3" x14ac:dyDescent="0.25">
      <c r="A14" t="s">
        <v>12</v>
      </c>
      <c r="B14" s="6">
        <v>0.16595732423811926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0.9604699999999999</v>
      </c>
      <c r="C19" s="8" t="s">
        <v>19</v>
      </c>
    </row>
    <row r="20" spans="1:2" x14ac:dyDescent="0.25">
      <c r="A20" t="s">
        <v>20</v>
      </c>
      <c r="B20" s="10">
        <f>B17+B19*B18</f>
        <v>0.10280585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18276296704</v>
      </c>
    </row>
    <row r="23" spans="1:2" x14ac:dyDescent="0.25">
      <c r="A23" t="s">
        <v>24</v>
      </c>
      <c r="B23" s="11">
        <v>5787600000</v>
      </c>
    </row>
    <row r="24" spans="1:2" x14ac:dyDescent="0.25">
      <c r="A24" t="s">
        <v>25</v>
      </c>
      <c r="B24" s="10">
        <f>B22/(B22+B23)</f>
        <v>0.7594903239824013</v>
      </c>
    </row>
    <row r="25" spans="1:2" x14ac:dyDescent="0.25">
      <c r="A25" t="s">
        <v>26</v>
      </c>
      <c r="B25" s="10">
        <f>1-B24</f>
        <v>0.24050967601759865</v>
      </c>
    </row>
    <row r="26" spans="1:2" x14ac:dyDescent="0.25">
      <c r="A26" t="s">
        <v>27</v>
      </c>
      <c r="B26" s="12">
        <f>B24*B20+B25*B21*(1-B8)</f>
        <v>0.08757638047360024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22424100000</v>
      </c>
      <c r="C29" s="8" t="s">
        <v>30</v>
      </c>
    </row>
    <row r="30" spans="1:2" x14ac:dyDescent="0.25">
      <c r="A30" t="s">
        <v>31</v>
      </c>
      <c r="B30" s="11">
        <v>5168900000</v>
      </c>
    </row>
    <row r="31" spans="1:2" x14ac:dyDescent="0.25">
      <c r="A31" t="s">
        <v>32</v>
      </c>
      <c r="B31" s="13">
        <v>132100000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-0.01894867945091694</v>
      </c>
      <c r="C5" s="10">
        <f>Assumptions!B6</f>
        <v>-0.01894867945091694</v>
      </c>
      <c r="D5" s="10">
        <f>Assumptions!B6</f>
        <v>-0.01894867945091694</v>
      </c>
      <c r="E5" s="10">
        <f>Assumptions!B6</f>
        <v>-0.01894867945091694</v>
      </c>
      <c r="F5" s="10">
        <f>Assumptions!B6</f>
        <v>-0.01894867945091694</v>
      </c>
    </row>
    <row r="6" spans="1:6" x14ac:dyDescent="0.25">
      <c r="A6" t="s">
        <v>43</v>
      </c>
      <c r="B6" s="18">
        <f>Assumptions!B29*(1+B5)</f>
        <v>21999192917.124695</v>
      </c>
      <c r="C6" s="18">
        <f>B6*(1+C5)</f>
        <v>21582337262.359215</v>
      </c>
      <c r="D6" s="18">
        <f>C6*(1+D5)</f>
        <v>21173380471.77319</v>
      </c>
      <c r="E6" s="18">
        <f>D6*(1+E5)</f>
        <v>20772172872.321255</v>
      </c>
      <c r="F6" s="18">
        <f>E6*(1+F5)</f>
        <v>20378567627.064606</v>
      </c>
    </row>
    <row r="7" spans="1:6" x14ac:dyDescent="0.25">
      <c r="A7" t="s">
        <v>5</v>
      </c>
      <c r="B7" s="10">
        <f>Assumptions!B7</f>
        <v>0.07604236269953522</v>
      </c>
      <c r="C7" s="10">
        <f>Assumptions!B7</f>
        <v>0.07604236269953522</v>
      </c>
      <c r="D7" s="10">
        <f>Assumptions!B7</f>
        <v>0.07604236269953522</v>
      </c>
      <c r="E7" s="10">
        <f>Assumptions!B7</f>
        <v>0.07604236269953522</v>
      </c>
      <c r="F7" s="10">
        <f>Assumptions!B7</f>
        <v>0.07604236269953522</v>
      </c>
    </row>
    <row r="8" spans="1:6" x14ac:dyDescent="0.25">
      <c r="A8" t="s">
        <v>44</v>
      </c>
      <c r="B8" s="18">
        <f>B6*B7</f>
        <v>1672870606.9010425</v>
      </c>
      <c r="C8" s="18">
        <f>C6*C7</f>
        <v>1641171918.0080135</v>
      </c>
      <c r="D8" s="18">
        <f>D6*D7</f>
        <v>1610073877.4098332</v>
      </c>
      <c r="E8" s="18">
        <f>E6*E7</f>
        <v>1579565103.6144993</v>
      </c>
      <c r="F8" s="18">
        <f>F6*F7</f>
        <v>1549634430.7942536</v>
      </c>
    </row>
    <row r="9" spans="1:6" x14ac:dyDescent="0.25">
      <c r="A9" t="s">
        <v>45</v>
      </c>
      <c r="B9" s="18">
        <f>B8*(1-Assumptions!B8)</f>
        <v>1321567779.4518237</v>
      </c>
      <c r="C9" s="18">
        <f>C8*(1-Assumptions!B8)</f>
        <v>1296525815.2263308</v>
      </c>
      <c r="D9" s="18">
        <f>D8*(1-Assumptions!B8)</f>
        <v>1271958363.1537683</v>
      </c>
      <c r="E9" s="18">
        <f>E8*(1-Assumptions!B8)</f>
        <v>1247856431.8554544</v>
      </c>
      <c r="F9" s="18">
        <f>F8*(1-Assumptions!B8)</f>
        <v>1224211200.3274603</v>
      </c>
    </row>
    <row r="10" spans="1:6" x14ac:dyDescent="0.25">
      <c r="A10" t="s">
        <v>46</v>
      </c>
      <c r="B10" s="18">
        <f>B6*Assumptions!B9</f>
        <v>281549936.4743079</v>
      </c>
      <c r="C10" s="18">
        <f>C6*Assumptions!B9</f>
        <v>276214936.9786302</v>
      </c>
      <c r="D10" s="18">
        <f>D6*Assumptions!B9</f>
        <v>270981028.6782669</v>
      </c>
      <c r="E10" s="18">
        <f>E6*Assumptions!B9</f>
        <v>265846296.0285627</v>
      </c>
      <c r="F10" s="18">
        <f>F6*Assumptions!B9</f>
        <v>260808859.78190386</v>
      </c>
    </row>
    <row r="11" spans="1:6" x14ac:dyDescent="0.25">
      <c r="A11" t="s">
        <v>47</v>
      </c>
      <c r="B11" s="18">
        <f>-B6*Assumptions!B10</f>
        <v>-219991929.17124695</v>
      </c>
      <c r="C11" s="18">
        <f>-C6*Assumptions!B10</f>
        <v>-215823372.62359214</v>
      </c>
      <c r="D11" s="18">
        <f>-D6*Assumptions!B10</f>
        <v>-211733804.7177319</v>
      </c>
      <c r="E11" s="18">
        <f>-E6*Assumptions!B10</f>
        <v>-207721728.72321254</v>
      </c>
      <c r="F11" s="18">
        <f>-F6*Assumptions!B10</f>
        <v>-203785676.27064607</v>
      </c>
    </row>
    <row r="12" spans="1:6" x14ac:dyDescent="0.25">
      <c r="A12" t="s">
        <v>48</v>
      </c>
      <c r="B12" s="18">
        <f>-(B6-Assumptions!B29)*Assumptions!B11</f>
        <v>21274902.619625848</v>
      </c>
      <c r="C12" s="18">
        <f>-(C6-B6)*Assumptions!B11</f>
        <v>20871771.309537247</v>
      </c>
      <c r="D12" s="18">
        <f>-(D6-C6)*Assumptions!B11</f>
        <v>20476278.8054199</v>
      </c>
      <c r="E12" s="18">
        <f>-(E6-D6)*Assumptions!B11</f>
        <v>20088280.36198839</v>
      </c>
      <c r="F12" s="18">
        <f>-(F6-E6)*Assumptions!B11</f>
        <v>19707633.976688962</v>
      </c>
    </row>
    <row r="13" spans="1:6" x14ac:dyDescent="0.25">
      <c r="A13" s="19" t="s">
        <v>49</v>
      </c>
      <c r="B13" s="20">
        <f>B9+B10+B11+B12</f>
        <v>1404400689.3745105</v>
      </c>
      <c r="C13" s="20">
        <f>C9+C10+C11+C12</f>
        <v>1377789150.8909059</v>
      </c>
      <c r="D13" s="20">
        <f>D9+D10+D11+D12</f>
        <v>1351681865.919723</v>
      </c>
      <c r="E13" s="20">
        <f>E9+E10+E11+E12</f>
        <v>1326069279.522793</v>
      </c>
      <c r="F13" s="20">
        <f>F9+F10+F11+F12</f>
        <v>1300942017.8154068</v>
      </c>
    </row>
    <row r="14" spans="1:6" x14ac:dyDescent="0.25">
      <c r="A14" t="s">
        <v>50</v>
      </c>
      <c r="B14" s="21">
        <f>1/(1+Assumptions!$B$26)^(1-0.5*Assumptions!$B$32)</f>
        <v>0.9588929296787533</v>
      </c>
      <c r="C14" s="21">
        <f>1/(1+Assumptions!$B$26)^(2-0.5*Assumptions!$B$32)</f>
        <v>0.8816787003605118</v>
      </c>
      <c r="D14" s="21">
        <f>1/(1+Assumptions!$B$26)^(3-0.5*Assumptions!$B$32)</f>
        <v>0.8106820966234781</v>
      </c>
      <c r="E14" s="21">
        <f>1/(1+Assumptions!$B$26)^(4-0.5*Assumptions!$B$32)</f>
        <v>0.7454024482128374</v>
      </c>
      <c r="F14" s="21">
        <f>1/(1+Assumptions!$B$26)^(5-0.5*Assumptions!$B$32)</f>
        <v>0.6853794010203142</v>
      </c>
    </row>
    <row r="15" spans="1:6" x14ac:dyDescent="0.25">
      <c r="A15" s="19" t="s">
        <v>51</v>
      </c>
      <c r="B15" s="20">
        <f>B13*B14</f>
        <v>1346669891.4771852</v>
      </c>
      <c r="C15" s="20">
        <f>C13*C14</f>
        <v>1214767347.9283068</v>
      </c>
      <c r="D15" s="20">
        <f>D13*D14</f>
        <v>1095784289.0317361</v>
      </c>
      <c r="E15" s="20">
        <f>E13*E14</f>
        <v>988455287.4561234</v>
      </c>
      <c r="F15" s="20">
        <f>F13*F14</f>
        <v>891638860.9324825</v>
      </c>
    </row>
    <row r="17" spans="1:2" x14ac:dyDescent="0.25">
      <c r="A17" s="22" t="s">
        <v>52</v>
      </c>
      <c r="B17" s="23">
        <f>SUM(B15:F15)</f>
        <v>5537315676.825834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1300942017.8154068</v>
      </c>
    </row>
    <row r="5" spans="1:2" x14ac:dyDescent="0.25">
      <c r="A5" t="s">
        <v>56</v>
      </c>
      <c r="B5" s="18">
        <f>IF(Assumptions!$B$33=0,B4,B4-Forecast!F11-Forecast!F10-Forecast!F12)</f>
        <v>1391856362.0622911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0.15064113689932385</v>
      </c>
    </row>
    <row r="7" spans="1:2" x14ac:dyDescent="0.25">
      <c r="A7" t="s">
        <v>58</v>
      </c>
      <c r="B7" s="18">
        <f>-MAX(Forecast!F9,0)*B6</f>
        <v>-209670824.78162047</v>
      </c>
    </row>
    <row r="8" spans="1:2" x14ac:dyDescent="0.25">
      <c r="A8" t="s">
        <v>59</v>
      </c>
      <c r="B8" s="18">
        <f>IF(OR(Assumptions!$B$33=0,Assumptions!B12&lt;=0),B5,MAX(B5+B7,0))</f>
        <v>1182185537.2806706</v>
      </c>
    </row>
    <row r="9" spans="1:2" x14ac:dyDescent="0.25">
      <c r="A9" t="s">
        <v>60</v>
      </c>
      <c r="B9" s="18">
        <f>B8*(1+Assumptions!B12)/(Assumptions!B26-Assumptions!B12)</f>
        <v>19364178089.908813</v>
      </c>
    </row>
    <row r="10" spans="1:2" x14ac:dyDescent="0.25">
      <c r="A10" t="s">
        <v>61</v>
      </c>
      <c r="B10" s="18">
        <f>B9/(1+Assumptions!B26)^(5-0.5*Assumptions!B32)</f>
        <v>13271808780.512396</v>
      </c>
    </row>
    <row r="11" spans="1:2" x14ac:dyDescent="0.25">
      <c r="A11" t="s">
        <v>62</v>
      </c>
      <c r="B11" s="18">
        <f>Forecast!B17+B10</f>
        <v>18809124457.33823</v>
      </c>
    </row>
    <row r="12" spans="1:2" x14ac:dyDescent="0.25">
      <c r="A12" t="s">
        <v>63</v>
      </c>
      <c r="B12" s="18">
        <f>-Assumptions!B30</f>
        <v>-5168900000</v>
      </c>
    </row>
    <row r="13" spans="1:2" x14ac:dyDescent="0.25">
      <c r="A13" t="s">
        <v>64</v>
      </c>
      <c r="B13" s="18">
        <f>B11+B12</f>
        <v>13640224457.33823</v>
      </c>
    </row>
    <row r="14" spans="1:2" x14ac:dyDescent="0.25">
      <c r="A14" s="19" t="s">
        <v>65</v>
      </c>
      <c r="B14" s="24">
        <f>B13/Assumptions!B31</f>
        <v>103.25680891247714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1810443290.5761576</v>
      </c>
    </row>
    <row r="18" spans="1:2" x14ac:dyDescent="0.25">
      <c r="A18" t="s">
        <v>60</v>
      </c>
      <c r="B18" s="18">
        <f>B17*Assumptions!B13</f>
        <v>21753894561.805576</v>
      </c>
    </row>
    <row r="19" spans="1:2" x14ac:dyDescent="0.25">
      <c r="A19" t="s">
        <v>61</v>
      </c>
      <c r="B19" s="18">
        <f>B18/(1+Assumptions!B26)^(5-0.5*Assumptions!B32)</f>
        <v>14909671224.629377</v>
      </c>
    </row>
    <row r="20" spans="1:2" x14ac:dyDescent="0.25">
      <c r="A20" t="s">
        <v>62</v>
      </c>
      <c r="B20" s="18">
        <f>Forecast!B17+B19</f>
        <v>20446986901.45521</v>
      </c>
    </row>
    <row r="21" spans="1:2" x14ac:dyDescent="0.25">
      <c r="A21" t="s">
        <v>63</v>
      </c>
      <c r="B21" s="18">
        <f>-Assumptions!B30</f>
        <v>-5168900000</v>
      </c>
    </row>
    <row r="22" spans="1:2" x14ac:dyDescent="0.25">
      <c r="A22" t="s">
        <v>64</v>
      </c>
      <c r="B22" s="18">
        <f>B20+B21</f>
        <v>15278086901.455212</v>
      </c>
    </row>
    <row r="23" spans="1:2" x14ac:dyDescent="0.25">
      <c r="A23" s="19" t="s">
        <v>65</v>
      </c>
      <c r="B23" s="25">
        <f>B22/Assumptions!B31</f>
        <v>115.65546481041038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146.19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103.25680891247714</v>
      </c>
    </row>
    <row r="29" spans="1:2" x14ac:dyDescent="0.25">
      <c r="A29" s="19" t="s">
        <v>73</v>
      </c>
      <c r="B29" s="12">
        <f>B28/B26-1</f>
        <v>-0.2936807653568839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0.067576</v>
      </c>
      <c r="B5" s="31">
        <v>142.4862002204982</v>
      </c>
      <c r="C5" s="31">
        <v>152.6540324535162</v>
      </c>
      <c r="D5" s="31">
        <v>165.15447243764504</v>
      </c>
      <c r="E5" s="31">
        <v>180.91867613058818</v>
      </c>
      <c r="F5" s="31">
        <v>201.44948168412043</v>
      </c>
    </row>
    <row r="6" spans="1:6" x14ac:dyDescent="0.25">
      <c r="A6" s="30">
        <v>0.077576</v>
      </c>
      <c r="B6" s="31">
        <v>114.75937419921775</v>
      </c>
      <c r="C6" s="31">
        <v>120.9814471399348</v>
      </c>
      <c r="D6" s="31">
        <v>128.34382545335018</v>
      </c>
      <c r="E6" s="31">
        <v>137.2060303390284</v>
      </c>
      <c r="F6" s="31">
        <v>148.09646743826823</v>
      </c>
    </row>
    <row r="7" spans="1:6" x14ac:dyDescent="0.25">
      <c r="A7" s="30">
        <v>0.087576</v>
      </c>
      <c r="B7" s="31">
        <v>94.65480161179957</v>
      </c>
      <c r="C7" s="31">
        <v>98.65404044474906</v>
      </c>
      <c r="D7" s="32">
        <v>103.2576115911066</v>
      </c>
      <c r="E7" s="31">
        <v>108.62295885907568</v>
      </c>
      <c r="F7" s="31">
        <v>114.96741794981605</v>
      </c>
    </row>
    <row r="8" spans="1:6" x14ac:dyDescent="0.25">
      <c r="A8" s="30">
        <v>0.097576</v>
      </c>
      <c r="B8" s="31">
        <v>79.40399902499962</v>
      </c>
      <c r="C8" s="31">
        <v>82.0590362057975</v>
      </c>
      <c r="D8" s="31">
        <v>85.05113347359558</v>
      </c>
      <c r="E8" s="31">
        <v>88.45510883042142</v>
      </c>
      <c r="F8" s="31">
        <v>92.36969296112878</v>
      </c>
    </row>
    <row r="9" spans="1:6" x14ac:dyDescent="0.25">
      <c r="A9" s="30">
        <v>0.107576</v>
      </c>
      <c r="B9" s="31">
        <v>67.43464690534068</v>
      </c>
      <c r="C9" s="31">
        <v>69.23371784039713</v>
      </c>
      <c r="D9" s="31">
        <v>71.22638388704448</v>
      </c>
      <c r="E9" s="31">
        <v>73.45007835808397</v>
      </c>
      <c r="F9" s="31">
        <v>75.95255018382147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22424100000</v>
      </c>
      <c r="C5" s="18">
        <v>20998700000</v>
      </c>
      <c r="D5" s="18">
        <v>21376000000</v>
      </c>
      <c r="E5" s="18">
        <v>23748700000</v>
      </c>
      <c r="F5" s="8" t="s">
        <v>84</v>
      </c>
    </row>
    <row r="6" spans="1:6" x14ac:dyDescent="0.25">
      <c r="A6" t="s">
        <v>44</v>
      </c>
      <c r="B6" s="18">
        <v>1655600000</v>
      </c>
      <c r="C6" s="18">
        <v>1651300000</v>
      </c>
      <c r="D6" s="18">
        <v>1680900000</v>
      </c>
      <c r="E6" s="18">
        <v>1735200000</v>
      </c>
      <c r="F6" s="8" t="s">
        <v>85</v>
      </c>
    </row>
    <row r="7" spans="1:6" x14ac:dyDescent="0.25">
      <c r="A7" t="s">
        <v>86</v>
      </c>
      <c r="B7" s="18">
        <v>295600000</v>
      </c>
      <c r="C7" s="18">
        <v>275300000</v>
      </c>
      <c r="D7" s="18">
        <v>270700000</v>
      </c>
      <c r="E7" s="18">
        <v>290600000</v>
      </c>
      <c r="F7" s="8" t="s">
        <v>87</v>
      </c>
    </row>
    <row r="8" spans="1:6" x14ac:dyDescent="0.25">
      <c r="A8" t="s">
        <v>88</v>
      </c>
      <c r="B8" s="18">
        <v>117100000</v>
      </c>
      <c r="C8" s="18">
        <v>122600000</v>
      </c>
      <c r="D8" s="18">
        <v>148200000</v>
      </c>
      <c r="E8" s="18">
        <v>127800000</v>
      </c>
      <c r="F8" s="8" t="s">
        <v>89</v>
      </c>
    </row>
    <row r="9" spans="1:6" x14ac:dyDescent="0.25">
      <c r="A9" t="s">
        <v>90</v>
      </c>
      <c r="B9" s="18">
        <v>286300000</v>
      </c>
      <c r="C9" s="18">
        <v>162700000</v>
      </c>
      <c r="D9" s="18">
        <v>-118800000</v>
      </c>
      <c r="E9" s="18">
        <v>166600000</v>
      </c>
      <c r="F9" s="8" t="s">
        <v>91</v>
      </c>
    </row>
    <row r="10" spans="1:6" x14ac:dyDescent="0.25">
      <c r="A10" t="s">
        <v>92</v>
      </c>
      <c r="B10" s="18">
        <v>5787600000</v>
      </c>
      <c r="C10" s="18">
        <v>5991900000</v>
      </c>
      <c r="D10" s="18">
        <v>5808900000</v>
      </c>
      <c r="E10" s="18">
        <v>6097900000</v>
      </c>
      <c r="F10" s="8" t="s">
        <v>93</v>
      </c>
    </row>
    <row r="11" spans="1:6" x14ac:dyDescent="0.25">
      <c r="A11" t="s">
        <v>94</v>
      </c>
      <c r="B11" s="18">
        <v>618700000</v>
      </c>
      <c r="C11" s="18">
        <v>717700000</v>
      </c>
      <c r="D11" s="18">
        <v>588700000</v>
      </c>
      <c r="E11" s="18">
        <v>315200000</v>
      </c>
      <c r="F11" s="8" t="s">
        <v>95</v>
      </c>
    </row>
    <row r="12" spans="1:6" x14ac:dyDescent="0.25">
      <c r="A12" t="s">
        <v>32</v>
      </c>
      <c r="B12" s="34">
        <v>132100000</v>
      </c>
      <c r="C12" s="34">
        <v>135200000</v>
      </c>
      <c r="D12" s="34">
        <v>136300000</v>
      </c>
      <c r="E12" s="34">
        <v>137000000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2026-09-19T01:04:01Z</dcterms:modified>
</cp:coreProperties>
</file>