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<sst xmlns="http://schemas.openxmlformats.org/spreadsheetml/2006/main" count="120" uniqueCount="107">
  <si>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Constellation Energy Corporation (CEG)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</si>
  <si>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</si>
  <si>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</si>
  <si>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</si>
  <si>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</si>
  <si>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</si>
  <si>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</si>
  <si>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</si>
  <si>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</si>
  <si>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</si>
  <si>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</si>
  <si>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</si>
  <si>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</si>
  <si>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</si>
  <si>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</si>
  <si>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</si>
  <si>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</si>
  <si>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</si>
  <si>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</si>
  <si>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</si>
  <si>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</si>
  <si>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</si>
  <si>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</si>
  <si>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</si>
  <si>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</si>
  <si>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</si>
  <si>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</si>
  <si>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</si>
  <si>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</si>
  <si>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</si>
  <si>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</si>
  <si>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</si>
  <si>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</si>
  <si>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</si>
  <si>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</si>
  <si>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</si>
  <si>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</si>
  <si>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</si>
  <si>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</si>
  <si>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</si>
  <si>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</si>
  <si>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</si>
  <si>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</si>
  <si>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</si>
  <si>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</si>
  <si>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</si>
  <si>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</si>
  <si>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</si>
  <si>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</si>
  <si>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</si>
  <si>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</si>
  <si>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</si>
  <si>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</si>
  <si>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</si>
  <si>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</si>
  <si>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</si>
  <si>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</si>
  <si>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</si>
  <si>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</si>
  <si>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</si>
  <si>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</si>
  <si>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</si>
  <si>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</si>
  <si>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</si>
  <si>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</si>
  <si>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</si>
  <si>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</si>
  <si>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</si>
  <si>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</si>
  <si>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</si>
  <si>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</si>
  <si>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</si>
  <si>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</si>
  <si>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</si>
  <si>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</si>
  <si>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</si>
  <si>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</si>
  <si>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</si>
  <si>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</si>
  <si>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</si>
  <si>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</si>
  <si>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</si>
  <si>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</si>
  <si>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</si>
  <si>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</si>
  <si>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</si>
  <si>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</si>
  <si>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</si>
  <si>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</si>
  <si>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</si>
  <si>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</si>
  <si>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</si>
  <si>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</si>
  <si>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</si>
  <si>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</si>
  <si>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</si>
  <si>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</si>
  <si>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</si>
  <si>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</si>
  <si>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</si>
  <si>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</si>
  <si>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</si>
  <si>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</si>
  <si>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</si>
  <si>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</si>
  <si>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9.8% of revenue against depreciation of 7.8%.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</si>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</sst>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0.4038854948498023</v>
      </c>
    </row>
    <row r="7" spans="1:2" x14ac:dyDescent="0.25">
      <c r="A7" t="s">
        <v>4</v>
      </c>
      <c r="B7" s="5">
        <v>0.11229436392693812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0.07806074434667941</v>
      </c>
    </row>
    <row r="10" spans="1:3" x14ac:dyDescent="0.25">
      <c r="A10" t="s">
        <v>7</v>
      </c>
      <c r="B10" s="5">
        <v>0.09765960882899036</v>
      </c>
      <c r="C10" s="6" t="s">
        <v>8</v>
      </c>
    </row>
    <row r="11" spans="1:2" x14ac:dyDescent="0.25">
      <c r="A11" t="s">
        <v>9</v>
      </c>
      <c r="B11" s="5">
        <v>0.0979125053851878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16.02513063537082</v>
      </c>
    </row>
    <row r="14" spans="1:3" x14ac:dyDescent="0.25">
      <c r="A14" t="s">
        <v>12</v>
      </c>
      <c r="B14" s="5">
        <v>0.14107022842315708</v>
      </c>
      <c r="C14" s="6" t="s">
        <v>13</v>
      </c>
    </row>
    <row r="15" spans="1:3" x14ac:dyDescent="0.25">
      <c r="A15" t="s">
        <v>14</v>
      </c>
      <c r="B15" s="5">
        <v>0.07715442022993808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1.08643</v>
      </c>
      <c r="C19" s="6" t="s">
        <v>21</v>
      </c>
    </row>
    <row r="20" spans="1:2" x14ac:dyDescent="0.25">
      <c r="A20" t="s">
        <v>22</v>
      </c>
      <c r="B20" s="9">
        <f>B17+B19*B18</f>
        <v>0.094895989</v>
      </c>
    </row>
    <row r="21" spans="1:3" x14ac:dyDescent="0.25">
      <c r="A21" t="s">
        <v>23</v>
      </c>
      <c r="B21" s="5">
        <v>0.05872213284302459</v>
      </c>
      <c r="C21" s="6" t="s">
        <v>24</v>
      </c>
    </row>
    <row r="22" spans="1:2" x14ac:dyDescent="0.25">
      <c r="A22" t="s">
        <v>25</v>
      </c>
      <c r="B22" s="10">
        <v>92963176448</v>
      </c>
    </row>
    <row r="23" spans="1:2" x14ac:dyDescent="0.25">
      <c r="A23" t="s">
        <v>26</v>
      </c>
      <c r="B23" s="10">
        <v>8992000000</v>
      </c>
    </row>
    <row r="24" spans="1:2" x14ac:dyDescent="0.25">
      <c r="A24" t="s">
        <v>27</v>
      </c>
      <c r="B24" s="9">
        <f>B22/(B22+B23)</f>
        <v>0.9118043799905915</v>
      </c>
    </row>
    <row r="25" spans="1:2" x14ac:dyDescent="0.25">
      <c r="A25" t="s">
        <v>28</v>
      </c>
      <c r="B25" s="9">
        <f>1-B24</f>
        <v>0.0881956200094085</v>
      </c>
    </row>
    <row r="26" spans="1:2" x14ac:dyDescent="0.25">
      <c r="A26" t="s">
        <v>29</v>
      </c>
      <c r="B26" s="11">
        <f>B24*B20+B25*B21*(1-B8)</f>
        <v>0.09061801599608767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25533000000</v>
      </c>
      <c r="C29" s="6" t="s">
        <v>32</v>
      </c>
    </row>
    <row r="30" spans="1:2" x14ac:dyDescent="0.25">
      <c r="A30" t="s">
        <v>33</v>
      </c>
      <c r="B30" s="10">
        <v>5351000000</v>
      </c>
    </row>
    <row r="31" spans="1:2" x14ac:dyDescent="0.25">
      <c r="A31" t="s">
        <v>34</v>
      </c>
      <c r="B31" s="12">
        <v>314000000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0.4038854948498023</v>
      </c>
      <c r="C5" s="5">
        <v>0.03658020457077038</v>
      </c>
      <c r="D5" s="5">
        <v>0.035132678999424086</v>
      </c>
      <c r="E5" s="5">
        <v>0.033685153428077784</v>
      </c>
      <c r="F5" s="5">
        <v>0.03223762785673149</v>
      </c>
      <c r="G5" s="5">
        <v>0.03079010228538519</v>
      </c>
      <c r="H5" s="5">
        <v>0.029342576714038893</v>
      </c>
      <c r="I5" s="5">
        <v>0.027895051142692598</v>
      </c>
      <c r="J5" s="5">
        <v>0.0264475255713463</v>
      </c>
      <c r="K5" s="5">
        <v>0.025</v>
      </c>
    </row>
    <row r="6" spans="1:11" x14ac:dyDescent="0.25">
      <c r="A6" t="s">
        <v>50</v>
      </c>
      <c r="B6" s="18">
        <f>Assumptions!B29*(1+B5)</f>
        <v>35845408340</v>
      </c>
      <c r="C6" s="18">
        <f>B6*(1+C5)</f>
        <v>37156640710</v>
      </c>
      <c r="D6" s="18">
        <f>C6*(1+D5)</f>
        <v>38462053040.76137</v>
      </c>
      <c r="E6" s="18">
        <f>D6*(1+E5)</f>
        <v>39757653198.59828</v>
      </c>
      <c r="F6" s="18">
        <f>E6*(1+F5)</f>
        <v>41039345626.87169</v>
      </c>
      <c r="G6" s="18">
        <f>F6*(1+G5)</f>
        <v>42302951276.44834</v>
      </c>
      <c r="H6" s="18">
        <f>G6*(1+H5)</f>
        <v>43544228869.50778</v>
      </c>
      <c r="I6" s="18">
        <f>H6*(1+I5)</f>
        <v>44758897360.79181</v>
      </c>
      <c r="J6" s="18">
        <f>I6*(1+J5)</f>
        <v>45942659443.28661</v>
      </c>
      <c r="K6" s="18">
        <f>J6*(1+K5)</f>
        <v>47091225929.368774</v>
      </c>
    </row>
    <row r="7" spans="1:11" x14ac:dyDescent="0.25">
      <c r="A7" t="s">
        <v>4</v>
      </c>
      <c r="B7" s="9">
        <f>Assumptions!B7</f>
        <v>0.11229436392693812</v>
      </c>
      <c r="C7" s="9">
        <f>Assumptions!B7</f>
        <v>0.11229436392693812</v>
      </c>
      <c r="D7" s="9">
        <f>Assumptions!B7</f>
        <v>0.11229436392693812</v>
      </c>
      <c r="E7" s="9">
        <f>Assumptions!B7</f>
        <v>0.11229436392693812</v>
      </c>
      <c r="F7" s="9">
        <f>Assumptions!B7</f>
        <v>0.11229436392693812</v>
      </c>
      <c r="G7" s="9">
        <f>Assumptions!B7</f>
        <v>0.11229436392693812</v>
      </c>
      <c r="H7" s="9">
        <f>Assumptions!B7</f>
        <v>0.11229436392693812</v>
      </c>
      <c r="I7" s="9">
        <f>Assumptions!B7</f>
        <v>0.11229436392693812</v>
      </c>
      <c r="J7" s="9">
        <f>Assumptions!B7</f>
        <v>0.11229436392693812</v>
      </c>
      <c r="K7" s="9">
        <f>Assumptions!B7</f>
        <v>0.11229436392693812</v>
      </c>
    </row>
    <row r="8" spans="1:11" x14ac:dyDescent="0.25">
      <c r="A8" t="s">
        <v>51</v>
      </c>
      <c r="B8" s="18">
        <f>B6*B7</f>
        <v>4025237329.241663</v>
      </c>
      <c r="C8" s="18">
        <f>C6*C7</f>
        <v>4172481334.191224</v>
      </c>
      <c r="D8" s="18">
        <f>D6*D7</f>
        <v>4319071781.536454</v>
      </c>
      <c r="E8" s="18">
        <f>E6*E7</f>
        <v>4464560377.164391</v>
      </c>
      <c r="F8" s="18">
        <f>F6*F7</f>
        <v>4608487213.1473255</v>
      </c>
      <c r="G8" s="18">
        <f>G6*G7</f>
        <v>4750383005.821021</v>
      </c>
      <c r="H8" s="18">
        <f>H6*H7</f>
        <v>4889771483.590392</v>
      </c>
      <c r="I8" s="18">
        <f>I6*I7</f>
        <v>5026171909.201225</v>
      </c>
      <c r="J8" s="18">
        <f>J6*J7</f>
        <v>5159101719.295807</v>
      </c>
      <c r="K8" s="18">
        <f>K6*K7</f>
        <v>5288079262.278202</v>
      </c>
    </row>
    <row r="9" spans="1:11" x14ac:dyDescent="0.25">
      <c r="A9" t="s">
        <v>52</v>
      </c>
      <c r="B9" s="18">
        <f>B8*(1-Assumptions!B8)</f>
        <v>3179937490.100914</v>
      </c>
      <c r="C9" s="18">
        <f>C8*(1-Assumptions!B8)</f>
        <v>3296260254.0110674</v>
      </c>
      <c r="D9" s="18">
        <f>D8*(1-Assumptions!B8)</f>
        <v>3412066707.413799</v>
      </c>
      <c r="E9" s="18">
        <f>E8*(1-Assumptions!B8)</f>
        <v>3527002697.959869</v>
      </c>
      <c r="F9" s="18">
        <f>F8*(1-Assumptions!B8)</f>
        <v>3640704898.3863873</v>
      </c>
      <c r="G9" s="18">
        <f>G8*(1-Assumptions!B8)</f>
        <v>3752802574.5986066</v>
      </c>
      <c r="H9" s="18">
        <f>H8*(1-Assumptions!B8)</f>
        <v>3862919472.03641</v>
      </c>
      <c r="I9" s="18">
        <f>I8*(1-Assumptions!B8)</f>
        <v>3970675808.268968</v>
      </c>
      <c r="J9" s="18">
        <f>J8*(1-Assumptions!B8)</f>
        <v>4075690358.2436876</v>
      </c>
      <c r="K9" s="18">
        <f>K8*(1-Assumptions!B8)</f>
        <v>4177582617.19978</v>
      </c>
    </row>
    <row r="10" spans="1:11" x14ac:dyDescent="0.25">
      <c r="A10" t="s">
        <v>53</v>
      </c>
      <c r="B10" s="18">
        <f>B6*Assumptions!B9</f>
        <v>2798119256.43107</v>
      </c>
      <c r="C10" s="18">
        <f>C6*Assumptions!B9</f>
        <v>2900475031.2447305</v>
      </c>
      <c r="D10" s="18">
        <f>D6*Assumptions!B9</f>
        <v>3002376489.4632964</v>
      </c>
      <c r="E10" s="18">
        <f>E6*Assumptions!B9</f>
        <v>3103512002.1597214</v>
      </c>
      <c r="F10" s="18">
        <f>F6*Assumptions!B9</f>
        <v>3203561867.1342463</v>
      </c>
      <c r="G10" s="18">
        <f>G6*Assumptions!B9</f>
        <v>3302199864.7008696</v>
      </c>
      <c r="H10" s="18">
        <f>H6*Assumptions!B9</f>
        <v>3399094917.555944</v>
      </c>
      <c r="I10" s="18">
        <f>I6*Assumptions!B9</f>
        <v>3493912844.1200333</v>
      </c>
      <c r="J10" s="18">
        <f>J6*Assumptions!B9</f>
        <v>3586318193.4089527</v>
      </c>
      <c r="K10" s="18">
        <f>K6*Assumptions!B9</f>
        <v>3675976148.2441764</v>
      </c>
    </row>
    <row r="11" spans="1:11" x14ac:dyDescent="0.25">
      <c r="A11" t="s">
        <v>54</v>
      </c>
      <c r="B11" s="18">
        <f>-B6*B19</f>
        <v>-3500648556.7998285</v>
      </c>
      <c r="C11" s="18">
        <f>-C6*C19</f>
        <v>-3609476675.5131435</v>
      </c>
      <c r="D11" s="18">
        <f>-D6*D19</f>
        <v>-3716385467.0990777</v>
      </c>
      <c r="E11" s="18">
        <f>-E6*E19</f>
        <v>-3821000292.9674</v>
      </c>
      <c r="F11" s="18">
        <f>-F6*F19</f>
        <v>-3922944891.0973864</v>
      </c>
      <c r="G11" s="18">
        <f>-G6*G19</f>
        <v>-4021843538.450309</v>
      </c>
      <c r="H11" s="18">
        <f>-H6*H19</f>
        <v>-4117323277.579747</v>
      </c>
      <c r="I11" s="18">
        <f>-I6*I19</f>
        <v>-4209016189.829995</v>
      </c>
      <c r="J11" s="18">
        <f>-J6*J19</f>
        <v>-4296561696.475855</v>
      </c>
      <c r="K11" s="18">
        <f>-K6*K19</f>
        <v>-4379608868.30625</v>
      </c>
    </row>
    <row r="12" spans="1:11" x14ac:dyDescent="0.25">
      <c r="A12" t="s">
        <v>55</v>
      </c>
      <c r="B12" s="18">
        <f>-(B6-Assumptions!B29)*Assumptions!B11</f>
        <v>-1009713737.1245055</v>
      </c>
      <c r="C12" s="18">
        <f>-(C6-B6)*Assumptions!B11</f>
        <v>-128386046.48885755</v>
      </c>
      <c r="D12" s="18">
        <f>-(D6-C6)*Assumptions!B11</f>
        <v>-127816191.86556298</v>
      </c>
      <c r="E12" s="18">
        <f>-(E6-D6)*Assumptions!B11</f>
        <v>-126855457.43125701</v>
      </c>
      <c r="F12" s="18">
        <f>-(F6-E6)*Assumptions!B11</f>
        <v>-125493716.78547439</v>
      </c>
      <c r="G12" s="18">
        <f>-(G6-F6)*Assumptions!B11</f>
        <v>-123722794.96892771</v>
      </c>
      <c r="H12" s="18">
        <f>-(H6-G6)*Assumptions!B11</f>
        <v>-121536599.01494542</v>
      </c>
      <c r="I12" s="18">
        <f>-(I6-H6)*Assumptions!B11</f>
        <v>-118931235.19406524</v>
      </c>
      <c r="J12" s="18">
        <f>-(J6-I6)*Assumptions!B11</f>
        <v>-115905111.27705365</v>
      </c>
      <c r="K12" s="18">
        <f>-(K6-J6)*Assumptions!B11</f>
        <v>-112459022.2537658</v>
      </c>
    </row>
    <row r="13" spans="1:11" x14ac:dyDescent="0.25">
      <c r="A13" s="19" t="s">
        <v>56</v>
      </c>
      <c r="B13" s="20">
        <f>B9+B10+B11+B12</f>
        <v>1467694452.6076503</v>
      </c>
      <c r="C13" s="20">
        <f>C9+C10+C11+C12</f>
        <v>2458872563.253797</v>
      </c>
      <c r="D13" s="20">
        <f>D9+D10+D11+D12</f>
        <v>2570241537.9124546</v>
      </c>
      <c r="E13" s="20">
        <f>E9+E10+E11+E12</f>
        <v>2682658949.720934</v>
      </c>
      <c r="F13" s="20">
        <f>F9+F10+F11+F12</f>
        <v>2795828157.637773</v>
      </c>
      <c r="G13" s="20">
        <f>G9+G10+G11+G12</f>
        <v>2909436105.88024</v>
      </c>
      <c r="H13" s="20">
        <f>H9+H10+H11+H12</f>
        <v>3023154512.997661</v>
      </c>
      <c r="I13" s="20">
        <f>I9+I10+I11+I12</f>
        <v>3136641227.3649416</v>
      </c>
      <c r="J13" s="20">
        <f>J9+J10+J11+J12</f>
        <v>3249541743.8997316</v>
      </c>
      <c r="K13" s="20">
        <f>K9+K10+K11+K12</f>
        <v>3361490874.883941</v>
      </c>
    </row>
    <row r="14" spans="1:11" x14ac:dyDescent="0.25">
      <c r="A14" t="s">
        <v>57</v>
      </c>
      <c r="B14" s="21">
        <f>1/(1+Assumptions!$B$26)^(1-0.5*Assumptions!$B$32)</f>
        <v>0.9575548630364049</v>
      </c>
      <c r="C14" s="21">
        <f>1/(1+Assumptions!$B$26)^(2-0.5*Assumptions!$B$32)</f>
        <v>0.8779928893452645</v>
      </c>
      <c r="D14" s="21">
        <f>1/(1+Assumptions!$B$26)^(3-0.5*Assumptions!$B$32)</f>
        <v>0.8050416153664696</v>
      </c>
      <c r="E14" s="21">
        <f>1/(1+Assumptions!$B$26)^(4-0.5*Assumptions!$B$32)</f>
        <v>0.7381517667587819</v>
      </c>
      <c r="F14" s="21">
        <f>1/(1+Assumptions!$B$26)^(5-0.5*Assumptions!$B$32)</f>
        <v>0.6768197076632831</v>
      </c>
      <c r="G14" s="21">
        <f>1/(1+Assumptions!$B$26)^(6-0.5*Assumptions!$B$32)</f>
        <v>0.6205836486619263</v>
      </c>
      <c r="H14" s="21">
        <f>1/(1+Assumptions!$B$26)^(7-0.5*Assumptions!$B$32)</f>
        <v>0.569020169811822</v>
      </c>
      <c r="I14" s="21">
        <f>1/(1+Assumptions!$B$26)^(8-0.5*Assumptions!$B$32)</f>
        <v>0.5217410325760319</v>
      </c>
      <c r="J14" s="21">
        <f>1/(1+Assumptions!$B$26)^(9-0.5*Assumptions!$B$32)</f>
        <v>0.4783902566468364</v>
      </c>
      <c r="K14" s="21">
        <f>1/(1+Assumptions!$B$26)^(10-0.5*Assumptions!$B$32)</f>
        <v>0.43864143965191255</v>
      </c>
    </row>
    <row r="15" spans="1:11" x14ac:dyDescent="0.25">
      <c r="A15" s="19" t="s">
        <v>58</v>
      </c>
      <c r="B15" s="20">
        <f>B13*B14</f>
        <v>1405397960.5460098</v>
      </c>
      <c r="C15" s="20">
        <f>C13*C14</f>
        <v>2158872626.342998</v>
      </c>
      <c r="D15" s="20">
        <f>D13*D14</f>
        <v>2069151399.5630414</v>
      </c>
      <c r="E15" s="20">
        <f>E13*E14</f>
        <v>1980209443.3477657</v>
      </c>
      <c r="F15" s="20">
        <f>F13*F14</f>
        <v>1892271596.329173</v>
      </c>
      <c r="G15" s="20">
        <f>G13*G14</f>
        <v>1805548474.1359057</v>
      </c>
      <c r="H15" s="20">
        <f>H13*H14</f>
        <v>1720235894.3533053</v>
      </c>
      <c r="I15" s="20">
        <f>I13*I14</f>
        <v>1636514432.7859366</v>
      </c>
      <c r="J15" s="20">
        <f>J13*J14</f>
        <v>1554549108.848801</v>
      </c>
      <c r="K15" s="20">
        <f>K13*K14</f>
        <v>1474489196.735859</v>
      </c>
    </row>
    <row r="17" spans="1:2" x14ac:dyDescent="0.25">
      <c r="A17" s="22" t="s">
        <v>59</v>
      </c>
      <c r="B17" s="23">
        <f>SUM(B15:K15)</f>
        <v>17697240132.988796</v>
      </c>
    </row>
    <row r="19" spans="1:11" x14ac:dyDescent="0.25">
      <c r="A19" t="s">
        <v>7</v>
      </c>
      <c r="B19" s="9">
        <f>Assumptions!$B$10+($B$20-Assumptions!$B$10)*0/9</f>
        <v>0.09765960882899036</v>
      </c>
      <c r="C19" s="9">
        <f>Assumptions!$B$10+($B$20-Assumptions!$B$10)*1/9</f>
        <v>0.09714216911276702</v>
      </c>
      <c r="D19" s="9">
        <f>Assumptions!$B$10+($B$20-Assumptions!$B$10)*2/9</f>
        <v>0.0966247293965437</v>
      </c>
      <c r="E19" s="9">
        <f>Assumptions!$B$10+($B$20-Assumptions!$B$10)*3/9</f>
        <v>0.09610728968032035</v>
      </c>
      <c r="F19" s="9">
        <f>Assumptions!$B$10+($B$20-Assumptions!$B$10)*4/9</f>
        <v>0.09558984996409703</v>
      </c>
      <c r="G19" s="9">
        <f>Assumptions!$B$10+($B$20-Assumptions!$B$10)*5/9</f>
        <v>0.09507241024787369</v>
      </c>
      <c r="H19" s="9">
        <f>Assumptions!$B$10+($B$20-Assumptions!$B$10)*6/9</f>
        <v>0.09455497053165036</v>
      </c>
      <c r="I19" s="9">
        <f>Assumptions!$B$10+($B$20-Assumptions!$B$10)*7/9</f>
        <v>0.09403753081542703</v>
      </c>
      <c r="J19" s="9">
        <f>Assumptions!$B$10+($B$20-Assumptions!$B$10)*8/9</f>
        <v>0.0935200910992037</v>
      </c>
      <c r="K19" s="9">
        <f>Assumptions!$B$10+($B$20-Assumptions!$B$10)*9/9</f>
        <v>0.09300265138298036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0.09300265138298036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3361490874.883941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4211299749.059674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0.1772166975232329</v>
      </c>
    </row>
    <row r="7" spans="1:2" x14ac:dyDescent="0.25">
      <c r="A7" t="s">
        <v>66</v>
      </c>
      <c r="B7" s="18">
        <f>-MAX(B5,0)*B6</f>
        <v>-746312633.8087748</v>
      </c>
    </row>
    <row r="8" spans="1:2" x14ac:dyDescent="0.25">
      <c r="A8" t="s">
        <v>67</v>
      </c>
      <c r="B8" s="18">
        <f>IF(OR(Assumptions!$B$33=0,Assumptions!B12&lt;=0),B5,MAX(B5+B7,0))</f>
        <v>3464987115.250899</v>
      </c>
    </row>
    <row r="9" spans="1:2" x14ac:dyDescent="0.25">
      <c r="A9" t="s">
        <v>68</v>
      </c>
      <c r="B9" s="18">
        <f>B8*(1+Assumptions!B12)/(Assumptions!B26-Assumptions!B12)</f>
        <v>54125558952.34518</v>
      </c>
    </row>
    <row r="10" spans="1:2" x14ac:dyDescent="0.25">
      <c r="A10" t="s">
        <v>69</v>
      </c>
      <c r="B10" s="18">
        <f>B9/(1+Assumptions!B26)^(10-0.5*Assumptions!B32)</f>
        <v>23741713100.82115</v>
      </c>
    </row>
    <row r="11" spans="1:2" x14ac:dyDescent="0.25">
      <c r="A11" t="s">
        <v>70</v>
      </c>
      <c r="B11" s="18">
        <f>Forecast!B17+B10</f>
        <v>41438953233.80995</v>
      </c>
    </row>
    <row r="12" spans="1:2" x14ac:dyDescent="0.25">
      <c r="A12" t="s">
        <v>71</v>
      </c>
      <c r="B12" s="18">
        <f>-Assumptions!B30</f>
        <v>-5351000000</v>
      </c>
    </row>
    <row r="13" spans="1:2" x14ac:dyDescent="0.25">
      <c r="A13" t="s">
        <v>72</v>
      </c>
      <c r="B13" s="18">
        <f>B11+B12</f>
        <v>36087953233.80995</v>
      </c>
    </row>
    <row r="14" spans="1:2" x14ac:dyDescent="0.25">
      <c r="A14" s="19" t="s">
        <v>73</v>
      </c>
      <c r="B14" s="24">
        <f>B13/Assumptions!B31</f>
        <v>114.92978736882151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8964055410.522379</v>
      </c>
    </row>
    <row r="18" spans="1:2" x14ac:dyDescent="0.25">
      <c r="A18" t="s">
        <v>68</v>
      </c>
      <c r="B18" s="18">
        <f>B17*Assumptions!B13</f>
        <v>143650158976.32373</v>
      </c>
    </row>
    <row r="19" spans="1:2" x14ac:dyDescent="0.25">
      <c r="A19" t="s">
        <v>69</v>
      </c>
      <c r="B19" s="18">
        <f>B18/(1+Assumptions!B26)^(10-0.5*Assumptions!B32)</f>
        <v>63010912539.600746</v>
      </c>
    </row>
    <row r="20" spans="1:2" x14ac:dyDescent="0.25">
      <c r="A20" t="s">
        <v>70</v>
      </c>
      <c r="B20" s="18">
        <f>Forecast!B17+B19</f>
        <v>80708152672.58954</v>
      </c>
    </row>
    <row r="21" spans="1:2" x14ac:dyDescent="0.25">
      <c r="A21" t="s">
        <v>71</v>
      </c>
      <c r="B21" s="18">
        <f>-Assumptions!B30</f>
        <v>-5351000000</v>
      </c>
    </row>
    <row r="22" spans="1:2" x14ac:dyDescent="0.25">
      <c r="A22" t="s">
        <v>72</v>
      </c>
      <c r="B22" s="18">
        <f>B20+B21</f>
        <v>75357152672.58954</v>
      </c>
    </row>
    <row r="23" spans="1:2" x14ac:dyDescent="0.25">
      <c r="A23" s="19" t="s">
        <v>73</v>
      </c>
      <c r="B23" s="25">
        <f>B22/Assumptions!B31</f>
        <v>239.99093207831064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262.38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114.92978736882151</v>
      </c>
    </row>
    <row r="29" spans="1:2" x14ac:dyDescent="0.25">
      <c r="A29" s="19" t="s">
        <v>81</v>
      </c>
      <c r="B29" s="11">
        <f>B28/B26-1</f>
        <v>-0.5619719972222672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0.070618</v>
      </c>
      <c r="B5" s="31">
        <v>161.8248308655366</v>
      </c>
      <c r="C5" s="31">
        <v>167.34157682517107</v>
      </c>
      <c r="D5" s="31">
        <v>174.31836592755084</v>
      </c>
      <c r="E5" s="31">
        <v>183.29438393123584</v>
      </c>
      <c r="F5" s="31">
        <v>195.11157686125748</v>
      </c>
    </row>
    <row r="6" spans="1:6" x14ac:dyDescent="0.25">
      <c r="A6" s="30">
        <v>0.080618</v>
      </c>
      <c r="B6" s="31">
        <v>133.27231409082572</v>
      </c>
      <c r="C6" s="31">
        <v>135.92824893829578</v>
      </c>
      <c r="D6" s="31">
        <v>139.25620010239487</v>
      </c>
      <c r="E6" s="31">
        <v>143.45531106467973</v>
      </c>
      <c r="F6" s="31">
        <v>148.81203447482343</v>
      </c>
    </row>
    <row r="7" spans="1:6" x14ac:dyDescent="0.25">
      <c r="A7" s="30">
        <v>0.090618</v>
      </c>
      <c r="B7" s="31">
        <v>112.35317767220664</v>
      </c>
      <c r="C7" s="31">
        <v>113.4777833083474</v>
      </c>
      <c r="D7" s="32">
        <v>114.9298203143292</v>
      </c>
      <c r="E7" s="31">
        <v>116.79031199259715</v>
      </c>
      <c r="F7" s="31">
        <v>119.16941728601672</v>
      </c>
    </row>
    <row r="8" spans="1:6" x14ac:dyDescent="0.25">
      <c r="A8" s="30">
        <v>0.100618</v>
      </c>
      <c r="B8" s="31">
        <v>96.38702406416238</v>
      </c>
      <c r="C8" s="31">
        <v>96.65020175068518</v>
      </c>
      <c r="D8" s="31">
        <v>97.07647048086864</v>
      </c>
      <c r="E8" s="31">
        <v>97.70047249401298</v>
      </c>
      <c r="F8" s="31">
        <v>98.56740879052083</v>
      </c>
    </row>
    <row r="9" spans="1:6" x14ac:dyDescent="0.25">
      <c r="A9" s="30">
        <v>0.110618</v>
      </c>
      <c r="B9" s="31">
        <v>83.81521840327011</v>
      </c>
      <c r="C9" s="31">
        <v>83.5802244494297</v>
      </c>
      <c r="D9" s="31">
        <v>83.42521778797322</v>
      </c>
      <c r="E9" s="31">
        <v>83.36508106776029</v>
      </c>
      <c r="F9" s="31">
        <v>83.4186332091359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25533000000</v>
      </c>
      <c r="C5" s="18">
        <v>23568000000</v>
      </c>
      <c r="D5" s="18">
        <v>24918000000</v>
      </c>
      <c r="E5" s="18">
        <v>24440000000</v>
      </c>
      <c r="F5" s="6" t="s">
        <v>91</v>
      </c>
    </row>
    <row r="6" spans="1:6" x14ac:dyDescent="0.25">
      <c r="A6" t="s">
        <v>51</v>
      </c>
      <c r="B6" s="18">
        <v>4198000000</v>
      </c>
      <c r="C6" s="18">
        <v>4848000000</v>
      </c>
      <c r="D6" s="18">
        <v>2386000000</v>
      </c>
      <c r="E6" s="18">
        <v>-408000000</v>
      </c>
      <c r="F6" s="6" t="s">
        <v>92</v>
      </c>
    </row>
    <row r="7" spans="1:6" x14ac:dyDescent="0.25">
      <c r="A7" t="s">
        <v>93</v>
      </c>
      <c r="B7" s="18">
        <v>1937000000</v>
      </c>
      <c r="C7" s="18">
        <v>2007000000</v>
      </c>
      <c r="D7" s="18">
        <v>1883000000</v>
      </c>
      <c r="E7" s="18">
        <v>1849000000</v>
      </c>
      <c r="F7" s="6" t="s">
        <v>94</v>
      </c>
    </row>
    <row r="8" spans="1:6" x14ac:dyDescent="0.25">
      <c r="A8" t="s">
        <v>95</v>
      </c>
      <c r="B8" s="18">
        <v>2949000000</v>
      </c>
      <c r="C8" s="18">
        <v>2565000000</v>
      </c>
      <c r="D8" s="18">
        <v>2422000000</v>
      </c>
      <c r="E8" s="18">
        <v>1689000000</v>
      </c>
      <c r="F8" s="6" t="s">
        <v>96</v>
      </c>
    </row>
    <row r="9" spans="1:6" x14ac:dyDescent="0.25">
      <c r="A9" t="s">
        <v>97</v>
      </c>
      <c r="B9" s="18">
        <v>7000000</v>
      </c>
      <c r="C9" s="18">
        <v>9168000000</v>
      </c>
      <c r="D9" s="18">
        <v>8355000000</v>
      </c>
      <c r="E9" s="18">
        <v>5246000000</v>
      </c>
      <c r="F9" s="6" t="s">
        <v>98</v>
      </c>
    </row>
    <row r="10" spans="1:6" x14ac:dyDescent="0.25">
      <c r="A10" t="s">
        <v>99</v>
      </c>
      <c r="B10" s="18">
        <v>8992000000</v>
      </c>
      <c r="C10" s="18">
        <v>8412000000</v>
      </c>
      <c r="D10" s="18">
        <v>9261000000</v>
      </c>
      <c r="E10" s="18">
        <v>5768000000</v>
      </c>
      <c r="F10" s="6" t="s">
        <v>100</v>
      </c>
    </row>
    <row r="11" spans="1:6" x14ac:dyDescent="0.25">
      <c r="A11" t="s">
        <v>101</v>
      </c>
      <c r="B11" s="18">
        <v>3641000000</v>
      </c>
      <c r="C11" s="18">
        <v>3022000000</v>
      </c>
      <c r="D11" s="18">
        <v>368000000</v>
      </c>
      <c r="E11" s="18">
        <v>422000000</v>
      </c>
      <c r="F11" s="6" t="s">
        <v>102</v>
      </c>
    </row>
    <row r="12" spans="1:6" x14ac:dyDescent="0.25">
      <c r="A12" t="s">
        <v>34</v>
      </c>
      <c r="B12" s="34">
        <v>314000000</v>
      </c>
      <c r="C12" s="34">
        <v>315000000</v>
      </c>
      <c r="D12" s="34">
        <v>324000000</v>
      </c>
      <c r="E12" s="34">
        <v>327000000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