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<sst xmlns="http://schemas.openxmlformats.org/spreadsheetml/2006/main" count="112" uniqueCount="100">
  <si>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Constellation Energy Corporation (CEG)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</si>
  <si>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</si>
  <si>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</si>
  <si>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</si>
  <si>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</si>
  <si>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</si>
  <si>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</si>
  <si>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</si>
  <si>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</si>
  <si>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</si>
  <si>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</si>
  <si>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</si>
  <si>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</si>
  <si>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</si>
  <si>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</si>
  <si>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</si>
  <si>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</si>
  <si>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</si>
  <si>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</si>
  <si>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</si>
  <si>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</si>
  <si>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</si>
  <si>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</si>
  <si>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</si>
  <si>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</si>
  <si>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</si>
  <si>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</si>
  <si>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</si>
  <si>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</si>
  <si>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</si>
  <si>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</si>
  <si>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</si>
  <si>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</si>
  <si>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</si>
  <si>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</si>
  <si>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</si>
  <si>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</si>
  <si>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</si>
  <si>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</si>
  <si>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</si>
  <si>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</si>
  <si>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</si>
  <si>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</si>
  <si>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</si>
  <si>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</si>
  <si>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</si>
  <si>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</si>
  <si>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</si>
  <si>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</si>
  <si>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</si>
  <si>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</si>
  <si>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</si>
  <si>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</si>
  <si>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</si>
  <si>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</si>
  <si>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</si>
  <si>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</si>
  <si>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</si>
  <si>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</si>
  <si>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</si>
  <si>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</si>
  <si>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</si>
  <si>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</si>
  <si>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</si>
  <si>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</si>
  <si>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</si>
  <si>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</si>
  <si>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</si>
  <si>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</si>
  <si>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</si>
  <si>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</si>
  <si>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</si>
  <si>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</si>
  <si>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</si>
  <si>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</si>
  <si>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</si>
  <si>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</si>
  <si>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</si>
  <si>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</si>
  <si>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</si>
  <si>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</si>
  <si>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</si>
  <si>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</si>
  <si>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</si>
  <si>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</si>
  <si>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</si>
  <si>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</si>
  <si>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</si>
  <si>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</si>
  <si>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</si>
  <si>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</si>
  <si>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</si>
  <si>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</si>
  <si>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</si>
  <si>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</si>
  <si>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</si>
  <si>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</si>
  <si>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</si>
  <si>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9.8% of revenue against depreciation of 7.8%.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</si>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</sst>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0.01469039149633189</v>
      </c>
    </row>
    <row r="7" spans="1:2" x14ac:dyDescent="0.25">
      <c r="A7" t="s">
        <v>5</v>
      </c>
      <c r="B7" s="6">
        <v>0.11229436392693812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0.07806074434667941</v>
      </c>
    </row>
    <row r="10" spans="1:2" x14ac:dyDescent="0.25">
      <c r="A10" t="s">
        <v>8</v>
      </c>
      <c r="B10" s="6">
        <v>0.09765960882899036</v>
      </c>
    </row>
    <row r="11" spans="1:2" x14ac:dyDescent="0.25">
      <c r="A11" t="s">
        <v>9</v>
      </c>
      <c r="B11" s="6">
        <v>0.0035623409669211198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15.582173772779136</v>
      </c>
    </row>
    <row r="14" spans="1:3" x14ac:dyDescent="0.25">
      <c r="A14" t="s">
        <v>12</v>
      </c>
      <c r="B14" s="6">
        <v>0.14107022842315708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1.07839</v>
      </c>
      <c r="C19" s="8" t="s">
        <v>19</v>
      </c>
    </row>
    <row r="20" spans="1:2" x14ac:dyDescent="0.25">
      <c r="A20" t="s">
        <v>20</v>
      </c>
      <c r="B20" s="10">
        <f>B17+B19*B18</f>
        <v>0.10929145</v>
      </c>
    </row>
    <row r="21" spans="1:3" x14ac:dyDescent="0.25">
      <c r="A21" t="s">
        <v>21</v>
      </c>
      <c r="B21" s="6">
        <v>0.05872213284302459</v>
      </c>
      <c r="C21" s="8" t="s">
        <v>22</v>
      </c>
    </row>
    <row r="22" spans="1:2" x14ac:dyDescent="0.25">
      <c r="A22" t="s">
        <v>23</v>
      </c>
      <c r="B22" s="11">
        <v>90245636096</v>
      </c>
    </row>
    <row r="23" spans="1:2" x14ac:dyDescent="0.25">
      <c r="A23" t="s">
        <v>24</v>
      </c>
      <c r="B23" s="11">
        <v>8992000000</v>
      </c>
    </row>
    <row r="24" spans="1:2" x14ac:dyDescent="0.25">
      <c r="A24" t="s">
        <v>25</v>
      </c>
      <c r="B24" s="10">
        <f>B22/(B22+B23)</f>
        <v>0.9093892160903413</v>
      </c>
    </row>
    <row r="25" spans="1:2" x14ac:dyDescent="0.25">
      <c r="A25" t="s">
        <v>26</v>
      </c>
      <c r="B25" s="10">
        <f>1-B24</f>
        <v>0.09061078390965871</v>
      </c>
    </row>
    <row r="26" spans="1:2" x14ac:dyDescent="0.25">
      <c r="A26" t="s">
        <v>27</v>
      </c>
      <c r="B26" s="12">
        <f>B24*B20+B25*B21*(1-B8)</f>
        <v>0.10359194424778205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25533000000</v>
      </c>
      <c r="C29" s="8" t="s">
        <v>30</v>
      </c>
    </row>
    <row r="30" spans="1:2" x14ac:dyDescent="0.25">
      <c r="A30" t="s">
        <v>31</v>
      </c>
      <c r="B30" s="11">
        <v>5351000000</v>
      </c>
    </row>
    <row r="31" spans="1:2" x14ac:dyDescent="0.25">
      <c r="A31" t="s">
        <v>32</v>
      </c>
      <c r="B31" s="13">
        <v>314000000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0.01469039149633189</v>
      </c>
      <c r="C5" s="10">
        <f>Assumptions!B6</f>
        <v>0.01469039149633189</v>
      </c>
      <c r="D5" s="10">
        <f>Assumptions!B6</f>
        <v>0.01469039149633189</v>
      </c>
      <c r="E5" s="10">
        <f>Assumptions!B6</f>
        <v>0.01469039149633189</v>
      </c>
      <c r="F5" s="10">
        <f>Assumptions!B6</f>
        <v>0.01469039149633189</v>
      </c>
    </row>
    <row r="6" spans="1:6" x14ac:dyDescent="0.25">
      <c r="A6" t="s">
        <v>43</v>
      </c>
      <c r="B6" s="18">
        <f>Assumptions!B29*(1+B5)</f>
        <v>25908089766.075844</v>
      </c>
      <c r="C6" s="18">
        <f>B6*(1+C5)</f>
        <v>26288689747.661606</v>
      </c>
      <c r="D6" s="18">
        <f>C6*(1+D5)</f>
        <v>26674880891.980362</v>
      </c>
      <c r="E6" s="18">
        <f>D6*(1+E5)</f>
        <v>27066745335.401577</v>
      </c>
      <c r="F6" s="18">
        <f>E6*(1+F5)</f>
        <v>27464366420.91014</v>
      </c>
    </row>
    <row r="7" spans="1:6" x14ac:dyDescent="0.25">
      <c r="A7" t="s">
        <v>5</v>
      </c>
      <c r="B7" s="10">
        <f>Assumptions!B7</f>
        <v>0.11229436392693812</v>
      </c>
      <c r="C7" s="10">
        <f>Assumptions!B7</f>
        <v>0.11229436392693812</v>
      </c>
      <c r="D7" s="10">
        <f>Assumptions!B7</f>
        <v>0.11229436392693812</v>
      </c>
      <c r="E7" s="10">
        <f>Assumptions!B7</f>
        <v>0.11229436392693812</v>
      </c>
      <c r="F7" s="10">
        <f>Assumptions!B7</f>
        <v>0.11229436392693812</v>
      </c>
    </row>
    <row r="8" spans="1:6" x14ac:dyDescent="0.25">
      <c r="A8" t="s">
        <v>44</v>
      </c>
      <c r="B8" s="18">
        <f>B6*B7</f>
        <v>2909332460.843502</v>
      </c>
      <c r="C8" s="18">
        <f>C6*C7</f>
        <v>2952071693.6862793</v>
      </c>
      <c r="D8" s="18">
        <f>D6*D7</f>
        <v>2995438782.5917706</v>
      </c>
      <c r="E8" s="18">
        <f>E6*E7</f>
        <v>3039442951.011339</v>
      </c>
      <c r="F8" s="18">
        <f>F6*F7</f>
        <v>3084093557.8924623</v>
      </c>
    </row>
    <row r="9" spans="1:6" x14ac:dyDescent="0.25">
      <c r="A9" t="s">
        <v>45</v>
      </c>
      <c r="B9" s="18">
        <f>B8*(1-Assumptions!B8)</f>
        <v>2298372644.0663667</v>
      </c>
      <c r="C9" s="18">
        <f>C8*(1-Assumptions!B8)</f>
        <v>2332136638.012161</v>
      </c>
      <c r="D9" s="18">
        <f>D8*(1-Assumptions!B8)</f>
        <v>2366396638.247499</v>
      </c>
      <c r="E9" s="18">
        <f>E8*(1-Assumptions!B8)</f>
        <v>2401159931.2989583</v>
      </c>
      <c r="F9" s="18">
        <f>F8*(1-Assumptions!B8)</f>
        <v>2436433910.7350454</v>
      </c>
    </row>
    <row r="10" spans="1:6" x14ac:dyDescent="0.25">
      <c r="A10" t="s">
        <v>46</v>
      </c>
      <c r="B10" s="18">
        <f>B6*Assumptions!B9</f>
        <v>2022404771.7404675</v>
      </c>
      <c r="C10" s="18">
        <f>C6*Assumptions!B9</f>
        <v>2052114689.6013846</v>
      </c>
      <c r="D10" s="18">
        <f>D6*Assumptions!B9</f>
        <v>2082261057.7870026</v>
      </c>
      <c r="E10" s="18">
        <f>E6*Assumptions!B9</f>
        <v>2112850287.92346</v>
      </c>
      <c r="F10" s="18">
        <f>F6*Assumptions!B9</f>
        <v>2143888885.826193</v>
      </c>
    </row>
    <row r="11" spans="1:6" x14ac:dyDescent="0.25">
      <c r="A11" t="s">
        <v>47</v>
      </c>
      <c r="B11" s="18">
        <f>-B6*Assumptions!B10</f>
        <v>-2530173912.061335</v>
      </c>
      <c r="C11" s="18">
        <f>-C6*Assumptions!B10</f>
        <v>-2567343157.383322</v>
      </c>
      <c r="D11" s="18">
        <f>-D6*Assumptions!B10</f>
        <v>-2605058433.4707117</v>
      </c>
      <c r="E11" s="18">
        <f>-E6*Assumptions!B10</f>
        <v>-2643327761.7292175</v>
      </c>
      <c r="F11" s="18">
        <f>-F6*Assumptions!B10</f>
        <v>-2682159281.4021425</v>
      </c>
    </row>
    <row r="12" spans="1:6" x14ac:dyDescent="0.25">
      <c r="A12" t="s">
        <v>48</v>
      </c>
      <c r="B12" s="18">
        <f>-(B6-Assumptions!B29)*Assumptions!B11</f>
        <v>-1336197.639964838</v>
      </c>
      <c r="C12" s="18">
        <f>-(C6-B6)*Assumptions!B11</f>
        <v>-1355826.9064123838</v>
      </c>
      <c r="D12" s="18">
        <f>-(D6-C6)*Assumptions!B11</f>
        <v>-1375744.5344688513</v>
      </c>
      <c r="E12" s="18">
        <f>-(E6-D6)*Assumptions!B11</f>
        <v>-1395954.7602791376</v>
      </c>
      <c r="F12" s="18">
        <f>-(F6-E6)*Assumptions!B11</f>
        <v>-1416461.882218803</v>
      </c>
    </row>
    <row r="13" spans="1:6" x14ac:dyDescent="0.25">
      <c r="A13" s="19" t="s">
        <v>49</v>
      </c>
      <c r="B13" s="20">
        <f>B9+B10+B11+B12</f>
        <v>1789267306.1055343</v>
      </c>
      <c r="C13" s="20">
        <f>C9+C10+C11+C12</f>
        <v>1815552343.3238113</v>
      </c>
      <c r="D13" s="20">
        <f>D9+D10+D11+D12</f>
        <v>1842223518.0293214</v>
      </c>
      <c r="E13" s="20">
        <f>E9+E10+E11+E12</f>
        <v>1869286502.7329211</v>
      </c>
      <c r="F13" s="20">
        <f>F9+F10+F11+F12</f>
        <v>1896747053.276877</v>
      </c>
    </row>
    <row r="14" spans="1:6" x14ac:dyDescent="0.25">
      <c r="A14" t="s">
        <v>50</v>
      </c>
      <c r="B14" s="21">
        <f>1/(1+Assumptions!$B$26)^(1-0.5*Assumptions!$B$32)</f>
        <v>0.9519096711804377</v>
      </c>
      <c r="C14" s="21">
        <f>1/(1+Assumptions!$B$26)^(2-0.5*Assumptions!$B$32)</f>
        <v>0.8625558351907577</v>
      </c>
      <c r="D14" s="21">
        <f>1/(1+Assumptions!$B$26)^(3-0.5*Assumptions!$B$32)</f>
        <v>0.7815894631042124</v>
      </c>
      <c r="E14" s="21">
        <f>1/(1+Assumptions!$B$26)^(4-0.5*Assumptions!$B$32)</f>
        <v>0.7082232406443948</v>
      </c>
      <c r="F14" s="21">
        <f>1/(1+Assumptions!$B$26)^(5-0.5*Assumptions!$B$32)</f>
        <v>0.6417437571340067</v>
      </c>
    </row>
    <row r="15" spans="1:6" x14ac:dyDescent="0.25">
      <c r="A15" s="19" t="s">
        <v>51</v>
      </c>
      <c r="B15" s="20">
        <f>B13*B14</f>
        <v>1703220853.0088267</v>
      </c>
      <c r="C15" s="20">
        <f>C13*C14</f>
        <v>1566015267.8282075</v>
      </c>
      <c r="D15" s="20">
        <f>D13*D14</f>
        <v>1439862490.3744907</v>
      </c>
      <c r="E15" s="20">
        <f>E13*E14</f>
        <v>1323872144.6583366</v>
      </c>
      <c r="F15" s="20">
        <f>F13*F14</f>
        <v>1217225580.302759</v>
      </c>
    </row>
    <row r="17" spans="1:2" x14ac:dyDescent="0.25">
      <c r="A17" s="22" t="s">
        <v>52</v>
      </c>
      <c r="B17" s="23">
        <f>SUM(B15:F15)</f>
        <v>7250196336.172621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1896747053.276877</v>
      </c>
    </row>
    <row r="5" spans="1:2" x14ac:dyDescent="0.25">
      <c r="A5" t="s">
        <v>56</v>
      </c>
      <c r="B5" s="18">
        <f>IF(Assumptions!$B$33=0,B4,B4-Forecast!F11-Forecast!F10-Forecast!F12)</f>
        <v>2456098288.669296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0.1772166975232329</v>
      </c>
    </row>
    <row r="7" spans="1:2" x14ac:dyDescent="0.25">
      <c r="A7" t="s">
        <v>58</v>
      </c>
      <c r="B7" s="18">
        <f>-MAX(Forecast!F9,0)*B6</f>
        <v>-435261627.5104366</v>
      </c>
    </row>
    <row r="8" spans="1:2" x14ac:dyDescent="0.25">
      <c r="A8" t="s">
        <v>59</v>
      </c>
      <c r="B8" s="18">
        <f>IF(OR(Assumptions!$B$33=0,Assumptions!B12&lt;=0),B5,MAX(B5+B7,0))</f>
        <v>2020836661.1588593</v>
      </c>
    </row>
    <row r="9" spans="1:2" x14ac:dyDescent="0.25">
      <c r="A9" t="s">
        <v>60</v>
      </c>
      <c r="B9" s="18">
        <f>B8*(1+Assumptions!B12)/(Assumptions!B26-Assumptions!B12)</f>
        <v>26355851067.347614</v>
      </c>
    </row>
    <row r="10" spans="1:2" x14ac:dyDescent="0.25">
      <c r="A10" t="s">
        <v>61</v>
      </c>
      <c r="B10" s="18">
        <f>B9/(1+Assumptions!B26)^(5-0.5*Assumptions!B32)</f>
        <v>16913702886.423977</v>
      </c>
    </row>
    <row r="11" spans="1:2" x14ac:dyDescent="0.25">
      <c r="A11" t="s">
        <v>62</v>
      </c>
      <c r="B11" s="18">
        <f>Forecast!B17+B10</f>
        <v>24163899222.596596</v>
      </c>
    </row>
    <row r="12" spans="1:2" x14ac:dyDescent="0.25">
      <c r="A12" t="s">
        <v>63</v>
      </c>
      <c r="B12" s="18">
        <f>-Assumptions!B30</f>
        <v>-5351000000</v>
      </c>
    </row>
    <row r="13" spans="1:2" x14ac:dyDescent="0.25">
      <c r="A13" t="s">
        <v>64</v>
      </c>
      <c r="B13" s="18">
        <f>B11+B12</f>
        <v>18812899222.596596</v>
      </c>
    </row>
    <row r="14" spans="1:2" x14ac:dyDescent="0.25">
      <c r="A14" s="19" t="s">
        <v>65</v>
      </c>
      <c r="B14" s="24">
        <f>B13/Assumptions!B31</f>
        <v>59.91369179170891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5227982443.718656</v>
      </c>
    </row>
    <row r="18" spans="1:2" x14ac:dyDescent="0.25">
      <c r="A18" t="s">
        <v>60</v>
      </c>
      <c r="B18" s="18">
        <f>B17*Assumptions!B13</f>
        <v>81463330919.0626</v>
      </c>
    </row>
    <row r="19" spans="1:2" x14ac:dyDescent="0.25">
      <c r="A19" t="s">
        <v>61</v>
      </c>
      <c r="B19" s="18">
        <f>B18/(1+Assumptions!B26)^(5-0.5*Assumptions!B32)</f>
        <v>52278584052.65013</v>
      </c>
    </row>
    <row r="20" spans="1:2" x14ac:dyDescent="0.25">
      <c r="A20" t="s">
        <v>62</v>
      </c>
      <c r="B20" s="18">
        <f>Forecast!B17+B19</f>
        <v>59528780388.822754</v>
      </c>
    </row>
    <row r="21" spans="1:2" x14ac:dyDescent="0.25">
      <c r="A21" t="s">
        <v>63</v>
      </c>
      <c r="B21" s="18">
        <f>-Assumptions!B30</f>
        <v>-5351000000</v>
      </c>
    </row>
    <row r="22" spans="1:2" x14ac:dyDescent="0.25">
      <c r="A22" t="s">
        <v>64</v>
      </c>
      <c r="B22" s="18">
        <f>B20+B21</f>
        <v>54177780388.822754</v>
      </c>
    </row>
    <row r="23" spans="1:2" x14ac:dyDescent="0.25">
      <c r="A23" s="19" t="s">
        <v>65</v>
      </c>
      <c r="B23" s="25">
        <f>B22/Assumptions!B31</f>
        <v>172.5407018752317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254.71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59.91369179170891</v>
      </c>
    </row>
    <row r="29" spans="1:2" x14ac:dyDescent="0.25">
      <c r="A29" s="19" t="s">
        <v>73</v>
      </c>
      <c r="B29" s="12">
        <f>B28/B26-1</f>
        <v>-0.7647768372199407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0.083592</v>
      </c>
      <c r="B5" s="31">
        <v>79.13855315725783</v>
      </c>
      <c r="C5" s="31">
        <v>82.09007040155235</v>
      </c>
      <c r="D5" s="31">
        <v>85.51235849765213</v>
      </c>
      <c r="E5" s="31">
        <v>89.5371826862103</v>
      </c>
      <c r="F5" s="31">
        <v>94.35054151404266</v>
      </c>
    </row>
    <row r="6" spans="1:6" x14ac:dyDescent="0.25">
      <c r="A6" s="30">
        <v>0.093592</v>
      </c>
      <c r="B6" s="31">
        <v>66.90342593694945</v>
      </c>
      <c r="C6" s="31">
        <v>68.75273897336953</v>
      </c>
      <c r="D6" s="31">
        <v>70.84463993829625</v>
      </c>
      <c r="E6" s="31">
        <v>73.23635016346319</v>
      </c>
      <c r="F6" s="31">
        <v>76.00462311186186</v>
      </c>
    </row>
    <row r="7" spans="1:6" x14ac:dyDescent="0.25">
      <c r="A7" s="30">
        <v>0.103592</v>
      </c>
      <c r="B7" s="31">
        <v>57.4440422552151</v>
      </c>
      <c r="C7" s="31">
        <v>58.61562366179075</v>
      </c>
      <c r="D7" s="32">
        <v>59.91363861402876</v>
      </c>
      <c r="E7" s="31">
        <v>61.363857619388334</v>
      </c>
      <c r="F7" s="31">
        <v>62.999565329094466</v>
      </c>
    </row>
    <row r="8" spans="1:6" x14ac:dyDescent="0.25">
      <c r="A8" s="30">
        <v>0.113592</v>
      </c>
      <c r="B8" s="31">
        <v>49.9150280027892</v>
      </c>
      <c r="C8" s="31">
        <v>50.65238872212462</v>
      </c>
      <c r="D8" s="31">
        <v>51.45369688538407</v>
      </c>
      <c r="E8" s="31">
        <v>52.330427414316794</v>
      </c>
      <c r="F8" s="31">
        <v>53.2969753553028</v>
      </c>
    </row>
    <row r="9" spans="1:6" x14ac:dyDescent="0.25">
      <c r="A9" s="30">
        <v>0.123592</v>
      </c>
      <c r="B9" s="31">
        <v>43.7824496557872</v>
      </c>
      <c r="C9" s="31">
        <v>44.233030595387184</v>
      </c>
      <c r="D9" s="31">
        <v>44.71266862906276</v>
      </c>
      <c r="E9" s="31">
        <v>45.2260207404358</v>
      </c>
      <c r="F9" s="31">
        <v>45.778795245894436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25533000000</v>
      </c>
      <c r="C5" s="18">
        <v>23568000000</v>
      </c>
      <c r="D5" s="18">
        <v>24918000000</v>
      </c>
      <c r="E5" s="18">
        <v>24440000000</v>
      </c>
      <c r="F5" s="8" t="s">
        <v>84</v>
      </c>
    </row>
    <row r="6" spans="1:6" x14ac:dyDescent="0.25">
      <c r="A6" t="s">
        <v>44</v>
      </c>
      <c r="B6" s="18">
        <v>4198000000</v>
      </c>
      <c r="C6" s="18">
        <v>4848000000</v>
      </c>
      <c r="D6" s="18">
        <v>2386000000</v>
      </c>
      <c r="E6" s="18">
        <v>-408000000</v>
      </c>
      <c r="F6" s="8" t="s">
        <v>85</v>
      </c>
    </row>
    <row r="7" spans="1:6" x14ac:dyDescent="0.25">
      <c r="A7" t="s">
        <v>86</v>
      </c>
      <c r="B7" s="18">
        <v>1937000000</v>
      </c>
      <c r="C7" s="18">
        <v>2007000000</v>
      </c>
      <c r="D7" s="18">
        <v>1883000000</v>
      </c>
      <c r="E7" s="18">
        <v>1849000000</v>
      </c>
      <c r="F7" s="8" t="s">
        <v>87</v>
      </c>
    </row>
    <row r="8" spans="1:6" x14ac:dyDescent="0.25">
      <c r="A8" t="s">
        <v>88</v>
      </c>
      <c r="B8" s="18">
        <v>2949000000</v>
      </c>
      <c r="C8" s="18">
        <v>2565000000</v>
      </c>
      <c r="D8" s="18">
        <v>2422000000</v>
      </c>
      <c r="E8" s="18">
        <v>1689000000</v>
      </c>
      <c r="F8" s="8" t="s">
        <v>89</v>
      </c>
    </row>
    <row r="9" spans="1:6" x14ac:dyDescent="0.25">
      <c r="A9" t="s">
        <v>90</v>
      </c>
      <c r="B9" s="18">
        <v>7000000</v>
      </c>
      <c r="C9" s="18">
        <v>9168000000</v>
      </c>
      <c r="D9" s="18">
        <v>8355000000</v>
      </c>
      <c r="E9" s="18">
        <v>5246000000</v>
      </c>
      <c r="F9" s="8" t="s">
        <v>91</v>
      </c>
    </row>
    <row r="10" spans="1:6" x14ac:dyDescent="0.25">
      <c r="A10" t="s">
        <v>92</v>
      </c>
      <c r="B10" s="18">
        <v>8992000000</v>
      </c>
      <c r="C10" s="18">
        <v>8412000000</v>
      </c>
      <c r="D10" s="18">
        <v>9261000000</v>
      </c>
      <c r="E10" s="18">
        <v>5768000000</v>
      </c>
      <c r="F10" s="8" t="s">
        <v>93</v>
      </c>
    </row>
    <row r="11" spans="1:6" x14ac:dyDescent="0.25">
      <c r="A11" t="s">
        <v>94</v>
      </c>
      <c r="B11" s="18">
        <v>3641000000</v>
      </c>
      <c r="C11" s="18">
        <v>3022000000</v>
      </c>
      <c r="D11" s="18">
        <v>368000000</v>
      </c>
      <c r="E11" s="18">
        <v>422000000</v>
      </c>
      <c r="F11" s="8" t="s">
        <v>95</v>
      </c>
    </row>
    <row r="12" spans="1:6" x14ac:dyDescent="0.25">
      <c r="A12" t="s">
        <v>32</v>
      </c>
      <c r="B12" s="34">
        <v>314000000</v>
      </c>
      <c r="C12" s="34">
        <v>315000000</v>
      </c>
      <c r="D12" s="34">
        <v>324000000</v>
      </c>
      <c r="E12" s="34">
        <v>327000000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2026-09-19T00:06:29Z</dcterms:modified>
</cp:coreProperties>
</file>