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<sst xmlns="http://schemas.openxmlformats.org/spreadsheetml/2006/main" count="114" uniqueCount="102">
  <si>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Contact Energy Limited (CEN.NZ)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</si>
  <si>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</si>
  <si>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</si>
  <si>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</si>
  <si>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</si>
  <si>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</si>
  <si>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</si>
  <si>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</si>
  <si>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</si>
  <si>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</si>
  <si>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</si>
  <si>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</si>
  <si>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</si>
  <si>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</si>
  <si>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</si>
  <si>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</si>
  <si>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</si>
  <si>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</si>
  <si>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</si>
  <si>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</si>
  <si>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</si>
  <si>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</si>
  <si>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</si>
  <si>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</si>
  <si>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</si>
  <si>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</si>
  <si>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</si>
  <si>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</si>
  <si>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</si>
  <si>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</si>
  <si>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</si>
  <si>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</si>
  <si>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</si>
  <si>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</si>
  <si>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</si>
  <si>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</si>
  <si>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</si>
  <si>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</si>
  <si>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</si>
  <si>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</si>
  <si>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</si>
  <si>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</si>
  <si>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</si>
  <si>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</si>
  <si>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</si>
  <si>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</si>
  <si>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</si>
  <si>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</si>
  <si>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</si>
  <si>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</si>
  <si>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</si>
  <si>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</si>
  <si>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</si>
  <si>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</si>
  <si>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</si>
  <si>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</si>
  <si>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</si>
  <si>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</si>
  <si>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</si>
  <si>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</si>
  <si>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</si>
  <si>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</si>
  <si>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</si>
  <si>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</si>
  <si>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</si>
  <si>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</si>
  <si>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</si>
  <si>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</si>
  <si>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</si>
  <si>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</si>
  <si>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</si>
  <si>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</si>
  <si>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</si>
  <si>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</si>
  <si>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</si>
  <si>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</si>
  <si>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</si>
  <si>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</si>
  <si>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</si>
  <si>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</si>
  <si>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</si>
  <si>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</si>
  <si>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</si>
  <si>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</si>
  <si>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</si>
  <si>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</si>
  <si>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</si>
  <si>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</si>
  <si>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</si>
  <si>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</si>
  <si>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</si>
  <si>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</si>
  <si>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</si>
  <si>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</si>
  <si>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</si>
  <si>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</si>
  <si>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</si>
  <si>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</si>
  <si>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</si>
  <si>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18.1% of revenue against depreciation of 9.2%.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</si>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</sst>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0.15007696782657143</v>
      </c>
    </row>
    <row r="7" spans="1:2" x14ac:dyDescent="0.25">
      <c r="A7" t="s">
        <v>5</v>
      </c>
      <c r="B7" s="6">
        <v>0.1753805501068029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0.0916536980239259</v>
      </c>
    </row>
    <row r="10" spans="1:2" x14ac:dyDescent="0.25">
      <c r="A10" t="s">
        <v>8</v>
      </c>
      <c r="B10" s="6">
        <v>0.18083244237596158</v>
      </c>
    </row>
    <row r="11" spans="1:2" x14ac:dyDescent="0.25">
      <c r="A11" t="s">
        <v>9</v>
      </c>
      <c r="B11" s="6">
        <v>0.12784588441331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11.37398012979351</v>
      </c>
    </row>
    <row r="14" spans="1:3" x14ac:dyDescent="0.25">
      <c r="A14" t="s">
        <v>12</v>
      </c>
      <c r="B14" s="6">
        <v>0.06344713918415902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0.40235999999999994</v>
      </c>
      <c r="C19" s="8" t="s">
        <v>19</v>
      </c>
    </row>
    <row r="20" spans="1:2" x14ac:dyDescent="0.25">
      <c r="A20" t="s">
        <v>20</v>
      </c>
      <c r="B20" s="10">
        <f>B17+B19*B18</f>
        <v>0.07115339999999999</v>
      </c>
    </row>
    <row r="21" spans="1:3" x14ac:dyDescent="0.25">
      <c r="A21" t="s">
        <v>21</v>
      </c>
      <c r="B21" s="6">
        <v>0.05527272727272727</v>
      </c>
      <c r="C21" s="8" t="s">
        <v>22</v>
      </c>
    </row>
    <row r="22" spans="1:2" x14ac:dyDescent="0.25">
      <c r="A22" t="s">
        <v>23</v>
      </c>
      <c r="B22" s="11">
        <v>9282337792</v>
      </c>
    </row>
    <row r="23" spans="1:2" x14ac:dyDescent="0.25">
      <c r="A23" t="s">
        <v>24</v>
      </c>
      <c r="B23" s="11">
        <v>3051000000</v>
      </c>
    </row>
    <row r="24" spans="1:2" x14ac:dyDescent="0.25">
      <c r="A24" t="s">
        <v>25</v>
      </c>
      <c r="B24" s="10">
        <f>B22/(B22+B23)</f>
        <v>0.752621711052216</v>
      </c>
    </row>
    <row r="25" spans="1:2" x14ac:dyDescent="0.25">
      <c r="A25" t="s">
        <v>26</v>
      </c>
      <c r="B25" s="10">
        <f>1-B24</f>
        <v>0.24737828894778402</v>
      </c>
    </row>
    <row r="26" spans="1:2" x14ac:dyDescent="0.25">
      <c r="A26" t="s">
        <v>27</v>
      </c>
      <c r="B26" s="12">
        <f>B24*B20+B25*B21*(1-B8)</f>
        <v>0.06339634999789018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3196000000</v>
      </c>
      <c r="C29" s="8" t="s">
        <v>30</v>
      </c>
    </row>
    <row r="30" spans="1:2" x14ac:dyDescent="0.25">
      <c r="A30" t="s">
        <v>31</v>
      </c>
      <c r="B30" s="11">
        <v>2285000000</v>
      </c>
    </row>
    <row r="31" spans="1:2" x14ac:dyDescent="0.25">
      <c r="A31" t="s">
        <v>32</v>
      </c>
      <c r="B31" s="13">
        <v>1014492754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0.15007696782657143</v>
      </c>
      <c r="C5" s="10">
        <f>Assumptions!B6</f>
        <v>0.15007696782657143</v>
      </c>
      <c r="D5" s="10">
        <f>Assumptions!B6</f>
        <v>0.15007696782657143</v>
      </c>
      <c r="E5" s="10">
        <f>Assumptions!B6</f>
        <v>0.15007696782657143</v>
      </c>
      <c r="F5" s="10">
        <f>Assumptions!B6</f>
        <v>0.15007696782657143</v>
      </c>
    </row>
    <row r="6" spans="1:6" x14ac:dyDescent="0.25">
      <c r="A6" t="s">
        <v>43</v>
      </c>
      <c r="B6" s="18">
        <f>Assumptions!B29*(1+B5)</f>
        <v>3675645989.1737223</v>
      </c>
      <c r="C6" s="18">
        <f>B6*(1+C5)</f>
        <v>4227275794.032813</v>
      </c>
      <c r="D6" s="18">
        <f>C6*(1+D5)</f>
        <v>4861692527.36792</v>
      </c>
      <c r="E6" s="18">
        <f>D6*(1+E5)</f>
        <v>5591320600.380398</v>
      </c>
      <c r="F6" s="18">
        <f>E6*(1+F5)</f>
        <v>6430449042.231732</v>
      </c>
    </row>
    <row r="7" spans="1:6" x14ac:dyDescent="0.25">
      <c r="A7" t="s">
        <v>5</v>
      </c>
      <c r="B7" s="10">
        <f>Assumptions!B7</f>
        <v>0.1753805501068029</v>
      </c>
      <c r="C7" s="10">
        <f>Assumptions!B7</f>
        <v>0.1753805501068029</v>
      </c>
      <c r="D7" s="10">
        <f>Assumptions!B7</f>
        <v>0.1753805501068029</v>
      </c>
      <c r="E7" s="10">
        <f>Assumptions!B7</f>
        <v>0.1753805501068029</v>
      </c>
      <c r="F7" s="10">
        <f>Assumptions!B7</f>
        <v>0.1753805501068029</v>
      </c>
    </row>
    <row r="8" spans="1:6" x14ac:dyDescent="0.25">
      <c r="A8" t="s">
        <v>44</v>
      </c>
      <c r="B8" s="18">
        <f>B6*B7</f>
        <v>644636815.579151</v>
      </c>
      <c r="C8" s="18">
        <f>C6*C7</f>
        <v>741381954.2106467</v>
      </c>
      <c r="D8" s="18">
        <f>D6*D7</f>
        <v>852646309.8999187</v>
      </c>
      <c r="E8" s="18">
        <f>E6*E7</f>
        <v>980608882.7182136</v>
      </c>
      <c r="F8" s="18">
        <f>F6*F7</f>
        <v>1127775690.460365</v>
      </c>
    </row>
    <row r="9" spans="1:6" x14ac:dyDescent="0.25">
      <c r="A9" t="s">
        <v>45</v>
      </c>
      <c r="B9" s="18">
        <f>B8*(1-Assumptions!B8)</f>
        <v>464138507.21698874</v>
      </c>
      <c r="C9" s="18">
        <f>C8*(1-Assumptions!B8)</f>
        <v>533795007.0316656</v>
      </c>
      <c r="D9" s="18">
        <f>D8*(1-Assumptions!B8)</f>
        <v>613905343.1279414</v>
      </c>
      <c r="E9" s="18">
        <f>E8*(1-Assumptions!B8)</f>
        <v>706038395.5571138</v>
      </c>
      <c r="F9" s="18">
        <f>F8*(1-Assumptions!B8)</f>
        <v>811998497.1314628</v>
      </c>
    </row>
    <row r="10" spans="1:6" x14ac:dyDescent="0.25">
      <c r="A10" t="s">
        <v>46</v>
      </c>
      <c r="B10" s="18">
        <f>B6*Assumptions!B9</f>
        <v>336886547.53458273</v>
      </c>
      <c r="C10" s="18">
        <f>C6*Assumptions!B9</f>
        <v>387445459.090135</v>
      </c>
      <c r="D10" s="18">
        <f>D6*Assumptions!B9</f>
        <v>445592098.7885564</v>
      </c>
      <c r="E10" s="18">
        <f>E6*Assumptions!B9</f>
        <v>512465209.862221</v>
      </c>
      <c r="F10" s="18">
        <f>F6*Assumptions!B9</f>
        <v>589374434.6749507</v>
      </c>
    </row>
    <row r="11" spans="1:6" x14ac:dyDescent="0.25">
      <c r="A11" t="s">
        <v>47</v>
      </c>
      <c r="B11" s="18">
        <f>-B6*Assumptions!B10</f>
        <v>-664676041.5316914</v>
      </c>
      <c r="C11" s="18">
        <f>-C6*Assumptions!B10</f>
        <v>-764428606.4317359</v>
      </c>
      <c r="D11" s="18">
        <f>-D6*Assumptions!B10</f>
        <v>-879151733.8049024</v>
      </c>
      <c r="E11" s="18">
        <f>-E6*Assumptions!B10</f>
        <v>-1011092160.2738152</v>
      </c>
      <c r="F11" s="18">
        <f>-F6*Assumptions!B10</f>
        <v>-1162833805.880927</v>
      </c>
    </row>
    <row r="12" spans="1:6" x14ac:dyDescent="0.25">
      <c r="A12" t="s">
        <v>48</v>
      </c>
      <c r="B12" s="18">
        <f>-(B6-Assumptions!B29)*Assumptions!B11</f>
        <v>-61320765.69121143</v>
      </c>
      <c r="C12" s="18">
        <f>-(C6-B6)*Assumptions!B11</f>
        <v>-70523600.27095208</v>
      </c>
      <c r="D12" s="18">
        <f>-(D6-C6)*Assumptions!B11</f>
        <v>-81107568.35982978</v>
      </c>
      <c r="E12" s="18">
        <f>-(E6-D6)*Assumptions!B11</f>
        <v>-93279946.28705935</v>
      </c>
      <c r="F12" s="18">
        <f>-(F6-E6)*Assumptions!B11</f>
        <v>-107279117.78484663</v>
      </c>
    </row>
    <row r="13" spans="1:6" x14ac:dyDescent="0.25">
      <c r="A13" s="19" t="s">
        <v>49</v>
      </c>
      <c r="B13" s="20">
        <f>B9+B10+B11+B12</f>
        <v>75028247.52866855</v>
      </c>
      <c r="C13" s="20">
        <f>C9+C10+C11+C12</f>
        <v>86288259.41911271</v>
      </c>
      <c r="D13" s="20">
        <f>D9+D10+D11+D12</f>
        <v>99238139.75176549</v>
      </c>
      <c r="E13" s="20">
        <f>E9+E10+E11+E12</f>
        <v>114131498.85846038</v>
      </c>
      <c r="F13" s="20">
        <f>F9+F10+F11+F12</f>
        <v>131260008.14063993</v>
      </c>
    </row>
    <row r="14" spans="1:6" x14ac:dyDescent="0.25">
      <c r="A14" t="s">
        <v>50</v>
      </c>
      <c r="B14" s="21">
        <f>1/(1+Assumptions!$B$26)^(1-0.5*Assumptions!$B$32)</f>
        <v>0.9697335413635467</v>
      </c>
      <c r="C14" s="21">
        <f>1/(1+Assumptions!$B$26)^(2-0.5*Assumptions!$B$32)</f>
        <v>0.9119210737985614</v>
      </c>
      <c r="D14" s="21">
        <f>1/(1+Assumptions!$B$26)^(3-0.5*Assumptions!$B$32)</f>
        <v>0.8575552039466475</v>
      </c>
      <c r="E14" s="21">
        <f>1/(1+Assumptions!$B$26)^(4-0.5*Assumptions!$B$32)</f>
        <v>0.8064304564787615</v>
      </c>
      <c r="F14" s="21">
        <f>1/(1+Assumptions!$B$26)^(5-0.5*Assumptions!$B$32)</f>
        <v>0.7583536058595288</v>
      </c>
    </row>
    <row r="15" spans="1:6" x14ac:dyDescent="0.25">
      <c r="A15" s="19" t="s">
        <v>51</v>
      </c>
      <c r="B15" s="20">
        <f>B13*B14</f>
        <v>72757408.17827652</v>
      </c>
      <c r="C15" s="20">
        <f>C13*C14</f>
        <v>78688082.1856861</v>
      </c>
      <c r="D15" s="20">
        <f>D13*D14</f>
        <v>85102183.17411116</v>
      </c>
      <c r="E15" s="20">
        <f>E13*E14</f>
        <v>92039116.72303346</v>
      </c>
      <c r="F15" s="20">
        <f>F13*F14</f>
        <v>99541500.4786054</v>
      </c>
    </row>
    <row r="17" spans="1:2" x14ac:dyDescent="0.25">
      <c r="A17" s="22" t="s">
        <v>52</v>
      </c>
      <c r="B17" s="23">
        <f>SUM(B15:F15)</f>
        <v>428128290.7397126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131260008.14063993</v>
      </c>
    </row>
    <row r="5" spans="1:2" x14ac:dyDescent="0.25">
      <c r="A5" t="s">
        <v>56</v>
      </c>
      <c r="B5" s="18">
        <f>IF(Assumptions!$B$33=0,B4,B4-Forecast!F11-Forecast!F10-Forecast!F12)</f>
        <v>811998497.1314628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0.39402879816907177</v>
      </c>
    </row>
    <row r="7" spans="1:2" x14ac:dyDescent="0.25">
      <c r="A7" t="s">
        <v>58</v>
      </c>
      <c r="B7" s="18">
        <f>-MAX(Forecast!F9,0)*B6</f>
        <v>-319950791.93980277</v>
      </c>
    </row>
    <row r="8" spans="1:2" x14ac:dyDescent="0.25">
      <c r="A8" t="s">
        <v>59</v>
      </c>
      <c r="B8" s="18">
        <f>IF(OR(Assumptions!$B$33=0,Assumptions!B12&lt;=0),B5,MAX(B5+B7,0))</f>
        <v>492047705.19166005</v>
      </c>
    </row>
    <row r="9" spans="1:2" x14ac:dyDescent="0.25">
      <c r="A9" t="s">
        <v>60</v>
      </c>
      <c r="B9" s="18">
        <f>B8*(1+Assumptions!B12)/(Assumptions!B26-Assumptions!B12)</f>
        <v>13135334422.390793</v>
      </c>
    </row>
    <row r="10" spans="1:2" x14ac:dyDescent="0.25">
      <c r="A10" t="s">
        <v>61</v>
      </c>
      <c r="B10" s="18">
        <f>B9/(1+Assumptions!B26)^(5-0.5*Assumptions!B32)</f>
        <v>9961228223.390848</v>
      </c>
    </row>
    <row r="11" spans="1:2" x14ac:dyDescent="0.25">
      <c r="A11" t="s">
        <v>62</v>
      </c>
      <c r="B11" s="18">
        <f>Forecast!B17+B10</f>
        <v>10389356514.13056</v>
      </c>
    </row>
    <row r="12" spans="1:2" x14ac:dyDescent="0.25">
      <c r="A12" t="s">
        <v>63</v>
      </c>
      <c r="B12" s="18">
        <f>-Assumptions!B30</f>
        <v>-2285000000</v>
      </c>
    </row>
    <row r="13" spans="1:2" x14ac:dyDescent="0.25">
      <c r="A13" t="s">
        <v>64</v>
      </c>
      <c r="B13" s="18">
        <f>B11+B12</f>
        <v>8104356514.13056</v>
      </c>
    </row>
    <row r="14" spans="1:2" x14ac:dyDescent="0.25">
      <c r="A14" s="19" t="s">
        <v>65</v>
      </c>
      <c r="B14" s="24">
        <f>B13/Assumptions!B31</f>
        <v>7.988579989532936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1717150125.135316</v>
      </c>
    </row>
    <row r="18" spans="1:2" x14ac:dyDescent="0.25">
      <c r="A18" t="s">
        <v>60</v>
      </c>
      <c r="B18" s="18">
        <f>B17*Assumptions!B13</f>
        <v>19530831403.161522</v>
      </c>
    </row>
    <row r="19" spans="1:2" x14ac:dyDescent="0.25">
      <c r="A19" t="s">
        <v>61</v>
      </c>
      <c r="B19" s="18">
        <f>B18/(1+Assumptions!B26)^(5-0.5*Assumptions!B32)</f>
        <v>14811276420.02206</v>
      </c>
    </row>
    <row r="20" spans="1:2" x14ac:dyDescent="0.25">
      <c r="A20" t="s">
        <v>62</v>
      </c>
      <c r="B20" s="18">
        <f>Forecast!B17+B19</f>
        <v>15239404710.761772</v>
      </c>
    </row>
    <row r="21" spans="1:2" x14ac:dyDescent="0.25">
      <c r="A21" t="s">
        <v>63</v>
      </c>
      <c r="B21" s="18">
        <f>-Assumptions!B30</f>
        <v>-2285000000</v>
      </c>
    </row>
    <row r="22" spans="1:2" x14ac:dyDescent="0.25">
      <c r="A22" t="s">
        <v>64</v>
      </c>
      <c r="B22" s="18">
        <f>B20+B21</f>
        <v>12954404710.761772</v>
      </c>
    </row>
    <row r="23" spans="1:2" x14ac:dyDescent="0.25">
      <c r="A23" s="19" t="s">
        <v>65</v>
      </c>
      <c r="B23" s="25">
        <f>B22/Assumptions!B31</f>
        <v>12.76934178157942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7.988579989532936</v>
      </c>
    </row>
    <row r="29" spans="1:2" x14ac:dyDescent="0.25">
      <c r="A29" s="19" t="s">
        <v>73</v>
      </c>
      <c r="B29" s="12">
        <f>B28/B26-1</f>
        <v>-0.07859515691661634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0.043396</v>
      </c>
      <c r="B5" s="31">
        <v>16.23635733373807</v>
      </c>
      <c r="C5" s="31">
        <v>17.929170215942758</v>
      </c>
      <c r="D5" s="31">
        <v>20.513868427202173</v>
      </c>
      <c r="E5" s="31">
        <v>24.98912917980514</v>
      </c>
      <c r="F5" s="31">
        <v>34.73256539897241</v>
      </c>
    </row>
    <row r="6" spans="1:6" x14ac:dyDescent="0.25">
      <c r="A6" s="30">
        <v>0.053396</v>
      </c>
      <c r="B6" s="31">
        <v>10.964807044613208</v>
      </c>
      <c r="C6" s="31">
        <v>11.426843009216888</v>
      </c>
      <c r="D6" s="31">
        <v>12.034013618030826</v>
      </c>
      <c r="E6" s="31">
        <v>12.87936980553758</v>
      </c>
      <c r="F6" s="31">
        <v>14.157126818551259</v>
      </c>
    </row>
    <row r="7" spans="1:6" x14ac:dyDescent="0.25">
      <c r="A7" s="30">
        <v>0.063396</v>
      </c>
      <c r="B7" s="31">
        <v>7.890216664919302</v>
      </c>
      <c r="C7" s="31">
        <v>7.9392892441879495</v>
      </c>
      <c r="D7" s="32">
        <v>7.988684405583547</v>
      </c>
      <c r="E7" s="31">
        <v>8.038547038670849</v>
      </c>
      <c r="F7" s="31">
        <v>8.089124082292498</v>
      </c>
    </row>
    <row r="8" spans="1:6" x14ac:dyDescent="0.25">
      <c r="A8" s="30">
        <v>0.073396</v>
      </c>
      <c r="B8" s="31">
        <v>6.207181439076953</v>
      </c>
      <c r="C8" s="31">
        <v>6.2468260364742525</v>
      </c>
      <c r="D8" s="31">
        <v>6.286470633871548</v>
      </c>
      <c r="E8" s="31">
        <v>6.326115231268846</v>
      </c>
      <c r="F8" s="31">
        <v>6.365759828666143</v>
      </c>
    </row>
    <row r="9" spans="1:6" x14ac:dyDescent="0.25">
      <c r="A9" s="30">
        <v>0.083396</v>
      </c>
      <c r="B9" s="31">
        <v>4.942774027892594</v>
      </c>
      <c r="C9" s="31">
        <v>4.976238851067889</v>
      </c>
      <c r="D9" s="31">
        <v>5.009703674243184</v>
      </c>
      <c r="E9" s="31">
        <v>5.043168497418481</v>
      </c>
      <c r="F9" s="31">
        <v>5.076633320593776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3196000000</v>
      </c>
      <c r="C5" s="18">
        <v>3412000000</v>
      </c>
      <c r="D5" s="18">
        <v>2841000000</v>
      </c>
      <c r="E5" s="18">
        <v>2101000000</v>
      </c>
      <c r="F5" s="8" t="s">
        <v>84</v>
      </c>
    </row>
    <row r="6" spans="1:6" x14ac:dyDescent="0.25">
      <c r="A6" t="s">
        <v>44</v>
      </c>
      <c r="B6" s="18">
        <v>723000000</v>
      </c>
      <c r="C6" s="18">
        <v>709000000</v>
      </c>
      <c r="D6" s="18">
        <v>403000000</v>
      </c>
      <c r="E6" s="18">
        <v>264000000</v>
      </c>
      <c r="F6" s="8" t="s">
        <v>85</v>
      </c>
    </row>
    <row r="7" spans="1:6" x14ac:dyDescent="0.25">
      <c r="A7" t="s">
        <v>86</v>
      </c>
      <c r="B7" s="18">
        <v>294000000</v>
      </c>
      <c r="C7" s="18">
        <v>273000000</v>
      </c>
      <c r="D7" s="18">
        <v>250000000</v>
      </c>
      <c r="E7" s="18">
        <v>224000000</v>
      </c>
      <c r="F7" s="8" t="s">
        <v>87</v>
      </c>
    </row>
    <row r="8" spans="1:6" x14ac:dyDescent="0.25">
      <c r="A8" t="s">
        <v>88</v>
      </c>
      <c r="B8" s="18">
        <v>499000000</v>
      </c>
      <c r="C8" s="18">
        <v>449000000</v>
      </c>
      <c r="D8" s="18">
        <v>506000000</v>
      </c>
      <c r="E8" s="18">
        <v>541000000</v>
      </c>
      <c r="F8" s="8" t="s">
        <v>89</v>
      </c>
    </row>
    <row r="9" spans="1:6" x14ac:dyDescent="0.25">
      <c r="A9" t="s">
        <v>90</v>
      </c>
      <c r="B9" s="18">
        <v>-89000000</v>
      </c>
      <c r="C9" s="18">
        <v>73000000</v>
      </c>
      <c r="D9" s="18">
        <v>-86000000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3051000000</v>
      </c>
      <c r="C10" s="18">
        <v>2449000000</v>
      </c>
      <c r="D10" s="18">
        <v>1913000000</v>
      </c>
      <c r="E10" s="18">
        <v>1556000000</v>
      </c>
      <c r="F10" s="8" t="s">
        <v>93</v>
      </c>
    </row>
    <row r="11" spans="1:6" x14ac:dyDescent="0.25">
      <c r="A11" t="s">
        <v>94</v>
      </c>
      <c r="B11" s="18">
        <v>766000000</v>
      </c>
      <c r="C11" s="18">
        <v>514000000</v>
      </c>
      <c r="D11" s="18">
        <v>229000000</v>
      </c>
      <c r="E11" s="18">
        <v>140000000</v>
      </c>
      <c r="F11" s="8" t="s">
        <v>95</v>
      </c>
    </row>
    <row r="12" spans="1:6" x14ac:dyDescent="0.25">
      <c r="A12" t="s">
        <v>32</v>
      </c>
      <c r="B12" s="34">
        <v>1014492754</v>
      </c>
      <c r="C12" s="34">
        <v>797176026</v>
      </c>
      <c r="D12" s="34">
        <v>787316179</v>
      </c>
      <c r="E12" s="34">
        <v>783046136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