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<sst xmlns="http://schemas.openxmlformats.org/spreadsheetml/2006/main" count="111" uniqueCount="99">
  <si>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CF Industries Holdings, Inc. (CF)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</si>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</sst>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-0.1412477014500929</v>
      </c>
    </row>
    <row r="7" spans="1:2" x14ac:dyDescent="0.25">
      <c r="A7" t="s">
        <v>5</v>
      </c>
      <c r="B7" s="6">
        <v>0.3652885024893303</v>
      </c>
    </row>
    <row r="8" spans="1:2" x14ac:dyDescent="0.25">
      <c r="A8" t="s">
        <v>6</v>
      </c>
      <c r="B8" s="6">
        <v>0.18967363575821056</v>
      </c>
    </row>
    <row r="9" spans="1:2" x14ac:dyDescent="0.25">
      <c r="A9" t="s">
        <v>7</v>
      </c>
      <c r="B9" s="6">
        <v>0.12240808655860998</v>
      </c>
    </row>
    <row r="10" spans="1:2" x14ac:dyDescent="0.25">
      <c r="A10" t="s">
        <v>8</v>
      </c>
      <c r="B10" s="6">
        <v>0.13082707724944864</v>
      </c>
    </row>
    <row r="11" spans="1:2" x14ac:dyDescent="0.25">
      <c r="A11" t="s">
        <v>9</v>
      </c>
      <c r="B11" s="6">
        <v>0.1019163763066202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6.409984195539261</v>
      </c>
    </row>
    <row r="14" spans="1:3" x14ac:dyDescent="0.25">
      <c r="A14" t="s">
        <v>12</v>
      </c>
      <c r="B14" s="6">
        <v>0.22454904733494074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0.5973299999999999</v>
      </c>
      <c r="C19" s="8" t="s">
        <v>19</v>
      </c>
    </row>
    <row r="20" spans="1:2" x14ac:dyDescent="0.25">
      <c r="A20" t="s">
        <v>20</v>
      </c>
      <c r="B20" s="10">
        <f>B17+B19*B18</f>
        <v>0.08283315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19325878272</v>
      </c>
    </row>
    <row r="23" spans="1:2" x14ac:dyDescent="0.25">
      <c r="A23" t="s">
        <v>24</v>
      </c>
      <c r="B23" s="11">
        <v>3636000000</v>
      </c>
    </row>
    <row r="24" spans="1:2" x14ac:dyDescent="0.25">
      <c r="A24" t="s">
        <v>25</v>
      </c>
      <c r="B24" s="10">
        <f>B22/(B22+B23)</f>
        <v>0.8416505846373298</v>
      </c>
    </row>
    <row r="25" spans="1:2" x14ac:dyDescent="0.25">
      <c r="A25" t="s">
        <v>26</v>
      </c>
      <c r="B25" s="10">
        <f>1-B24</f>
        <v>0.15834941536267022</v>
      </c>
    </row>
    <row r="26" spans="1:2" x14ac:dyDescent="0.25">
      <c r="A26" t="s">
        <v>27</v>
      </c>
      <c r="B26" s="12">
        <f>B24*B20+B25*B21*(1-B8)</f>
        <v>0.0761297381322633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7084000000</v>
      </c>
      <c r="C29" s="8" t="s">
        <v>30</v>
      </c>
    </row>
    <row r="30" spans="1:2" x14ac:dyDescent="0.25">
      <c r="A30" t="s">
        <v>31</v>
      </c>
      <c r="B30" s="11">
        <v>1654000000</v>
      </c>
    </row>
    <row r="31" spans="1:2" x14ac:dyDescent="0.25">
      <c r="A31" t="s">
        <v>32</v>
      </c>
      <c r="B31" s="13">
        <v>162200000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-0.1412477014500929</v>
      </c>
      <c r="C5" s="10">
        <f>Assumptions!B6</f>
        <v>-0.1412477014500929</v>
      </c>
      <c r="D5" s="10">
        <f>Assumptions!B6</f>
        <v>-0.1412477014500929</v>
      </c>
      <c r="E5" s="10">
        <f>Assumptions!B6</f>
        <v>-0.1412477014500929</v>
      </c>
      <c r="F5" s="10">
        <f>Assumptions!B6</f>
        <v>-0.1412477014500929</v>
      </c>
    </row>
    <row r="6" spans="1:6" x14ac:dyDescent="0.25">
      <c r="A6" t="s">
        <v>43</v>
      </c>
      <c r="B6" s="18">
        <f>Assumptions!B29*(1+B5)</f>
        <v>6083401282.927542</v>
      </c>
      <c r="C6" s="18">
        <f>B6*(1+C5)</f>
        <v>5224134834.71548</v>
      </c>
      <c r="D6" s="18">
        <f>C6*(1+D5)</f>
        <v>4486237797.246557</v>
      </c>
      <c r="E6" s="18">
        <f>D6*(1+E5)</f>
        <v>3852567020.226953</v>
      </c>
      <c r="F6" s="18">
        <f>E6*(1+F5)</f>
        <v>3308400783.9374623</v>
      </c>
    </row>
    <row r="7" spans="1:6" x14ac:dyDescent="0.25">
      <c r="A7" t="s">
        <v>5</v>
      </c>
      <c r="B7" s="10">
        <f>Assumptions!B7</f>
        <v>0.3652885024893303</v>
      </c>
      <c r="C7" s="10">
        <f>Assumptions!B7</f>
        <v>0.3652885024893303</v>
      </c>
      <c r="D7" s="10">
        <f>Assumptions!B7</f>
        <v>0.3652885024893303</v>
      </c>
      <c r="E7" s="10">
        <f>Assumptions!B7</f>
        <v>0.3652885024893303</v>
      </c>
      <c r="F7" s="10">
        <f>Assumptions!B7</f>
        <v>0.3652885024893303</v>
      </c>
    </row>
    <row r="8" spans="1:6" x14ac:dyDescent="0.25">
      <c r="A8" t="s">
        <v>44</v>
      </c>
      <c r="B8" s="18">
        <f>B6*B7</f>
        <v>2222196544.6822724</v>
      </c>
      <c r="C8" s="18">
        <f>C6*C7</f>
        <v>1908316390.5755627</v>
      </c>
      <c r="D8" s="18">
        <f>D6*D7</f>
        <v>1638771086.7672267</v>
      </c>
      <c r="E8" s="18">
        <f>E6*E7</f>
        <v>1407298437.5584853</v>
      </c>
      <c r="F8" s="18">
        <f>F6*F7</f>
        <v>1208520767.999042</v>
      </c>
    </row>
    <row r="9" spans="1:6" x14ac:dyDescent="0.25">
      <c r="A9" t="s">
        <v>45</v>
      </c>
      <c r="B9" s="18">
        <f>B8*(1-Assumptions!B8)</f>
        <v>1800704446.6830533</v>
      </c>
      <c r="C9" s="18">
        <f>C8*(1-Assumptions!B8)</f>
        <v>1546359082.5981104</v>
      </c>
      <c r="D9" s="18">
        <f>D8*(1-Assumptions!B8)</f>
        <v>1327939416.564653</v>
      </c>
      <c r="E9" s="18">
        <f>E8*(1-Assumptions!B8)</f>
        <v>1140371026.3099184</v>
      </c>
      <c r="F9" s="18">
        <f>F8*(1-Assumptions!B8)</f>
        <v>979296240.0433589</v>
      </c>
    </row>
    <row r="10" spans="1:6" x14ac:dyDescent="0.25">
      <c r="A10" t="s">
        <v>46</v>
      </c>
      <c r="B10" s="18">
        <f>B6*Assumptions!B9</f>
        <v>744657510.8113536</v>
      </c>
      <c r="C10" s="18">
        <f>C6*Assumptions!B9</f>
        <v>639476349.041702</v>
      </c>
      <c r="D10" s="18">
        <f>D6*Assumptions!B9</f>
        <v>549151784.6078644</v>
      </c>
      <c r="E10" s="18">
        <f>E6*Assumptions!B9</f>
        <v>471585357.284787</v>
      </c>
      <c r="F10" s="18">
        <f>F6*Assumptions!B9</f>
        <v>404975009.53079</v>
      </c>
    </row>
    <row r="11" spans="1:6" x14ac:dyDescent="0.25">
      <c r="A11" t="s">
        <v>47</v>
      </c>
      <c r="B11" s="18">
        <f>-B6*Assumptions!B10</f>
        <v>-795873609.5809565</v>
      </c>
      <c r="C11" s="18">
        <f>-C6*Assumptions!B10</f>
        <v>-683458291.5828577</v>
      </c>
      <c r="D11" s="18">
        <f>-D6*Assumptions!B10</f>
        <v>-586921378.8597716</v>
      </c>
      <c r="E11" s="18">
        <f>-E6*Assumptions!B10</f>
        <v>-504020083.16390973</v>
      </c>
      <c r="F11" s="18">
        <f>-F6*Assumptions!B10</f>
        <v>-432828404.93232286</v>
      </c>
    </row>
    <row r="12" spans="1:6" x14ac:dyDescent="0.25">
      <c r="A12" t="s">
        <v>48</v>
      </c>
      <c r="B12" s="18">
        <f>-(B6-Assumptions!B29)*Assumptions!B11</f>
        <v>101977395.38107806</v>
      </c>
      <c r="C12" s="18">
        <f>-(C6-B6)*Assumptions!B11</f>
        <v>87573322.68363348</v>
      </c>
      <c r="D12" s="18">
        <f>-(D6-C6)*Assumptions!B11</f>
        <v>75203792.14622295</v>
      </c>
      <c r="E12" s="18">
        <f>-(E6-D6)*Assumptions!B11</f>
        <v>64581429.365238406</v>
      </c>
      <c r="F12" s="18">
        <f>-(F6-E6)*Assumptions!B11</f>
        <v>55459450.91103694</v>
      </c>
    </row>
    <row r="13" spans="1:6" x14ac:dyDescent="0.25">
      <c r="A13" s="19" t="s">
        <v>49</v>
      </c>
      <c r="B13" s="20">
        <f>B9+B10+B11+B12</f>
        <v>1851465743.2945282</v>
      </c>
      <c r="C13" s="20">
        <f>C9+C10+C11+C12</f>
        <v>1589950462.7405884</v>
      </c>
      <c r="D13" s="20">
        <f>D9+D10+D11+D12</f>
        <v>1365373614.4589686</v>
      </c>
      <c r="E13" s="20">
        <f>E9+E10+E11+E12</f>
        <v>1172517729.796034</v>
      </c>
      <c r="F13" s="20">
        <f>F9+F10+F11+F12</f>
        <v>1006902295.552863</v>
      </c>
    </row>
    <row r="14" spans="1:6" x14ac:dyDescent="0.25">
      <c r="A14" t="s">
        <v>50</v>
      </c>
      <c r="B14" s="21">
        <f>1/(1+Assumptions!$B$26)^(1-0.5*Assumptions!$B$32)</f>
        <v>0.9639792452069037</v>
      </c>
      <c r="C14" s="21">
        <f>1/(1+Assumptions!$B$26)^(2-0.5*Assumptions!$B$32)</f>
        <v>0.8957834832071379</v>
      </c>
      <c r="D14" s="21">
        <f>1/(1+Assumptions!$B$26)^(3-0.5*Assumptions!$B$32)</f>
        <v>0.8324121632042848</v>
      </c>
      <c r="E14" s="21">
        <f>1/(1+Assumptions!$B$26)^(4-0.5*Assumptions!$B$32)</f>
        <v>0.7735239848022638</v>
      </c>
      <c r="F14" s="21">
        <f>1/(1+Assumptions!$B$26)^(5-0.5*Assumptions!$B$32)</f>
        <v>0.7188017925652685</v>
      </c>
    </row>
    <row r="15" spans="1:6" x14ac:dyDescent="0.25">
      <c r="A15" s="19" t="s">
        <v>51</v>
      </c>
      <c r="B15" s="20">
        <f>B13*B14</f>
        <v>1784774549.7474983</v>
      </c>
      <c r="C15" s="20">
        <f>C13*C14</f>
        <v>1424251363.640565</v>
      </c>
      <c r="D15" s="20">
        <f>D13*D14</f>
        <v>1136553603.9938433</v>
      </c>
      <c r="E15" s="20">
        <f>E13*E14</f>
        <v>906970586.6031324</v>
      </c>
      <c r="F15" s="20">
        <f>F13*F14</f>
        <v>723763174.9814818</v>
      </c>
    </row>
    <row r="17" spans="1:2" x14ac:dyDescent="0.25">
      <c r="A17" s="22" t="s">
        <v>52</v>
      </c>
      <c r="B17" s="23">
        <f>SUM(B15:F15)</f>
        <v>5976313278.96652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1006902295.552863</v>
      </c>
    </row>
    <row r="5" spans="1:2" x14ac:dyDescent="0.25">
      <c r="A5" t="s">
        <v>56</v>
      </c>
      <c r="B5" s="18">
        <f>IF(Assumptions!$B$33=0,B4,B4-Forecast!F11-Forecast!F10-Forecast!F12)</f>
        <v>979296240.0433589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0.1113342510098011</v>
      </c>
    </row>
    <row r="7" spans="1:2" x14ac:dyDescent="0.25">
      <c r="A7" t="s">
        <v>58</v>
      </c>
      <c r="B7" s="18">
        <f>-MAX(Forecast!F9,0)*B6</f>
        <v>-109029213.40194175</v>
      </c>
    </row>
    <row r="8" spans="1:2" x14ac:dyDescent="0.25">
      <c r="A8" t="s">
        <v>59</v>
      </c>
      <c r="B8" s="18">
        <f>IF(OR(Assumptions!$B$33=0,Assumptions!B12&lt;=0),B5,MAX(B5+B7,0))</f>
        <v>870267026.6414171</v>
      </c>
    </row>
    <row r="9" spans="1:2" x14ac:dyDescent="0.25">
      <c r="A9" t="s">
        <v>60</v>
      </c>
      <c r="B9" s="18">
        <f>B8*(1+Assumptions!B12)/(Assumptions!B26-Assumptions!B12)</f>
        <v>17446279501.76373</v>
      </c>
    </row>
    <row r="10" spans="1:2" x14ac:dyDescent="0.25">
      <c r="A10" t="s">
        <v>61</v>
      </c>
      <c r="B10" s="18">
        <f>B9/(1+Assumptions!B26)^(5-0.5*Assumptions!B32)</f>
        <v>12540416979.46247</v>
      </c>
    </row>
    <row r="11" spans="1:2" x14ac:dyDescent="0.25">
      <c r="A11" t="s">
        <v>62</v>
      </c>
      <c r="B11" s="18">
        <f>Forecast!B17+B10</f>
        <v>18516730258.42899</v>
      </c>
    </row>
    <row r="12" spans="1:2" x14ac:dyDescent="0.25">
      <c r="A12" t="s">
        <v>63</v>
      </c>
      <c r="B12" s="18">
        <f>-Assumptions!B30</f>
        <v>-1654000000</v>
      </c>
    </row>
    <row r="13" spans="1:2" x14ac:dyDescent="0.25">
      <c r="A13" t="s">
        <v>64</v>
      </c>
      <c r="B13" s="18">
        <f>B11+B12</f>
        <v>16862730258.42899</v>
      </c>
    </row>
    <row r="14" spans="1:2" x14ac:dyDescent="0.25">
      <c r="A14" s="19" t="s">
        <v>65</v>
      </c>
      <c r="B14" s="24">
        <f>B13/Assumptions!B31</f>
        <v>103.96257865862509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1613495777.529832</v>
      </c>
    </row>
    <row r="18" spans="1:2" x14ac:dyDescent="0.25">
      <c r="A18" t="s">
        <v>60</v>
      </c>
      <c r="B18" s="18">
        <f>B17*Assumptions!B13</f>
        <v>10342482433.535553</v>
      </c>
    </row>
    <row r="19" spans="1:2" x14ac:dyDescent="0.25">
      <c r="A19" t="s">
        <v>61</v>
      </c>
      <c r="B19" s="18">
        <f>B18/(1+Assumptions!B26)^(5-0.5*Assumptions!B32)</f>
        <v>7434194912.800157</v>
      </c>
    </row>
    <row r="20" spans="1:2" x14ac:dyDescent="0.25">
      <c r="A20" t="s">
        <v>62</v>
      </c>
      <c r="B20" s="18">
        <f>Forecast!B17+B19</f>
        <v>13410508191.766678</v>
      </c>
    </row>
    <row r="21" spans="1:2" x14ac:dyDescent="0.25">
      <c r="A21" t="s">
        <v>63</v>
      </c>
      <c r="B21" s="18">
        <f>-Assumptions!B30</f>
        <v>-1654000000</v>
      </c>
    </row>
    <row r="22" spans="1:2" x14ac:dyDescent="0.25">
      <c r="A22" t="s">
        <v>64</v>
      </c>
      <c r="B22" s="18">
        <f>B20+B21</f>
        <v>11756508191.766678</v>
      </c>
    </row>
    <row r="23" spans="1:2" x14ac:dyDescent="0.25">
      <c r="A23" s="19" t="s">
        <v>65</v>
      </c>
      <c r="B23" s="25">
        <f>B22/Assumptions!B31</f>
        <v>72.4815548197699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127.7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103.96257865862509</v>
      </c>
    </row>
    <row r="29" spans="1:2" x14ac:dyDescent="0.25">
      <c r="A29" s="19" t="s">
        <v>73</v>
      </c>
      <c r="B29" s="12">
        <f>B28/B26-1</f>
        <v>-0.1858842704884488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0.05613</v>
      </c>
      <c r="B5" s="31">
        <v>136.8582025372517</v>
      </c>
      <c r="C5" s="31">
        <v>149.54900119231195</v>
      </c>
      <c r="D5" s="31">
        <v>166.28273347982113</v>
      </c>
      <c r="E5" s="31">
        <v>189.38025682368803</v>
      </c>
      <c r="F5" s="31">
        <v>223.35917017542067</v>
      </c>
    </row>
    <row r="6" spans="1:6" x14ac:dyDescent="0.25">
      <c r="A6" s="30">
        <v>0.06613</v>
      </c>
      <c r="B6" s="31">
        <v>111.21197982476748</v>
      </c>
      <c r="C6" s="31">
        <v>118.52939294016474</v>
      </c>
      <c r="D6" s="31">
        <v>127.60139702739149</v>
      </c>
      <c r="E6" s="31">
        <v>139.15644114754497</v>
      </c>
      <c r="F6" s="31">
        <v>154.39097889824484</v>
      </c>
    </row>
    <row r="7" spans="1:6" x14ac:dyDescent="0.25">
      <c r="A7" s="30">
        <v>0.07613</v>
      </c>
      <c r="B7" s="31">
        <v>93.89272471355106</v>
      </c>
      <c r="C7" s="31">
        <v>98.48752656009063</v>
      </c>
      <c r="D7" s="32">
        <v>103.96207956662317</v>
      </c>
      <c r="E7" s="31">
        <v>110.60245066139275</v>
      </c>
      <c r="F7" s="31">
        <v>118.83381055491611</v>
      </c>
    </row>
    <row r="8" spans="1:6" x14ac:dyDescent="0.25">
      <c r="A8" s="30">
        <v>0.08613</v>
      </c>
      <c r="B8" s="31">
        <v>81.3908923335462</v>
      </c>
      <c r="C8" s="31">
        <v>84.44623591366619</v>
      </c>
      <c r="D8" s="31">
        <v>87.98622681885074</v>
      </c>
      <c r="E8" s="31">
        <v>92.14038063570187</v>
      </c>
      <c r="F8" s="31">
        <v>97.08887424031967</v>
      </c>
    </row>
    <row r="9" spans="1:6" x14ac:dyDescent="0.25">
      <c r="A9" s="30">
        <v>0.09613</v>
      </c>
      <c r="B9" s="31">
        <v>71.92714629039482</v>
      </c>
      <c r="C9" s="31">
        <v>74.04329722201405</v>
      </c>
      <c r="D9" s="31">
        <v>76.44444767428162</v>
      </c>
      <c r="E9" s="31">
        <v>79.19524293390138</v>
      </c>
      <c r="F9" s="31">
        <v>82.38147838955783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7084000000</v>
      </c>
      <c r="C5" s="18">
        <v>5936000000</v>
      </c>
      <c r="D5" s="18">
        <v>6631000000</v>
      </c>
      <c r="E5" s="18">
        <v>11186000000</v>
      </c>
      <c r="F5" s="8" t="s">
        <v>84</v>
      </c>
    </row>
    <row r="6" spans="1:6" x14ac:dyDescent="0.25">
      <c r="A6" t="s">
        <v>44</v>
      </c>
      <c r="B6" s="18">
        <v>2375000000</v>
      </c>
      <c r="C6" s="18">
        <v>1711000000</v>
      </c>
      <c r="D6" s="18">
        <v>2252000000</v>
      </c>
      <c r="E6" s="18">
        <v>5571000000</v>
      </c>
      <c r="F6" s="8" t="s">
        <v>85</v>
      </c>
    </row>
    <row r="7" spans="1:6" x14ac:dyDescent="0.25">
      <c r="A7" t="s">
        <v>86</v>
      </c>
      <c r="B7" s="18">
        <v>898000000</v>
      </c>
      <c r="C7" s="18">
        <v>925000000</v>
      </c>
      <c r="D7" s="18">
        <v>869000000</v>
      </c>
      <c r="E7" s="18">
        <v>850000000</v>
      </c>
      <c r="F7" s="8" t="s">
        <v>87</v>
      </c>
    </row>
    <row r="8" spans="1:6" x14ac:dyDescent="0.25">
      <c r="A8" t="s">
        <v>88</v>
      </c>
      <c r="B8" s="18">
        <v>951000000</v>
      </c>
      <c r="C8" s="18">
        <v>521000000</v>
      </c>
      <c r="D8" s="18">
        <v>1724000000</v>
      </c>
      <c r="E8" s="18">
        <v>462000000</v>
      </c>
      <c r="F8" s="8" t="s">
        <v>89</v>
      </c>
    </row>
    <row r="9" spans="1:6" x14ac:dyDescent="0.25">
      <c r="A9" t="s">
        <v>90</v>
      </c>
      <c r="B9" s="18">
        <v>117000000</v>
      </c>
      <c r="C9" s="18">
        <v>-83000000</v>
      </c>
      <c r="D9" s="18">
        <v>-20000000</v>
      </c>
      <c r="E9" s="18">
        <v>900000000</v>
      </c>
      <c r="F9" s="8" t="s">
        <v>91</v>
      </c>
    </row>
    <row r="10" spans="1:6" x14ac:dyDescent="0.25">
      <c r="A10" t="s">
        <v>92</v>
      </c>
      <c r="B10" s="18">
        <v>3636000000</v>
      </c>
      <c r="C10" s="18">
        <v>3246000000</v>
      </c>
      <c r="D10" s="18">
        <v>3232000000</v>
      </c>
      <c r="E10" s="18">
        <v>3225000000</v>
      </c>
      <c r="F10" s="8" t="s">
        <v>93</v>
      </c>
    </row>
    <row r="11" spans="1:6" x14ac:dyDescent="0.25">
      <c r="A11" t="s">
        <v>94</v>
      </c>
      <c r="B11" s="18">
        <v>1982000000</v>
      </c>
      <c r="C11" s="18">
        <v>1614000000</v>
      </c>
      <c r="D11" s="18">
        <v>2032000000</v>
      </c>
      <c r="E11" s="18">
        <v>2323000000</v>
      </c>
      <c r="F11" s="8" t="s">
        <v>95</v>
      </c>
    </row>
    <row r="12" spans="1:6" x14ac:dyDescent="0.25">
      <c r="A12" t="s">
        <v>32</v>
      </c>
      <c r="B12" s="34">
        <v>162200000</v>
      </c>
      <c r="C12" s="34">
        <v>180700000</v>
      </c>
      <c r="D12" s="34">
        <v>193800000</v>
      </c>
      <c r="E12" s="34">
        <v>204200000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2026-09-19T00:06:14Z</dcterms:modified>
</cp:coreProperties>
</file>