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<sst xmlns="http://schemas.openxmlformats.org/spreadsheetml/2006/main" count="119" uniqueCount="106">
  <si>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CF Industries Holdings, Inc. (CF)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</si>
  <si>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</si>
  <si>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</si>
  <si>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</si>
  <si>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</si>
  <si>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</si>
  <si>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</si>
  <si>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</si>
  <si>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</si>
  <si>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</si>
  <si>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</si>
  <si>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</si>
  <si>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</si>
  <si>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</si>
  <si>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</si>
  <si>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</si>
  <si>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</si>
  <si>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</si>
  <si>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</si>
  <si>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</si>
  <si>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</si>
  <si>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</si>
  <si>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</si>
  <si>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</si>
  <si>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16.4x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</si>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</sst>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0.1732578246753247</v>
      </c>
    </row>
    <row r="7" spans="1:2" x14ac:dyDescent="0.25">
      <c r="A7" t="s">
        <v>4</v>
      </c>
      <c r="B7" s="5">
        <v>0.3652885024893303</v>
      </c>
    </row>
    <row r="8" spans="1:2" x14ac:dyDescent="0.25">
      <c r="A8" t="s">
        <v>5</v>
      </c>
      <c r="B8" s="5">
        <v>0.18967363575821056</v>
      </c>
    </row>
    <row r="9" spans="1:2" x14ac:dyDescent="0.25">
      <c r="A9" t="s">
        <v>6</v>
      </c>
      <c r="B9" s="5">
        <v>0.12240808655860998</v>
      </c>
    </row>
    <row r="10" spans="1:3" x14ac:dyDescent="0.25">
      <c r="A10" t="s">
        <v>7</v>
      </c>
      <c r="B10" s="5">
        <v>0.13082707724944864</v>
      </c>
      <c r="C10" s="6" t="s">
        <v>8</v>
      </c>
    </row>
    <row r="11" spans="1:2" x14ac:dyDescent="0.25">
      <c r="A11" t="s">
        <v>9</v>
      </c>
      <c r="B11" s="5">
        <v>0.0956843351480349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6.206535762908646</v>
      </c>
    </row>
    <row r="14" spans="1:3" x14ac:dyDescent="0.25">
      <c r="A14" t="s">
        <v>12</v>
      </c>
      <c r="B14" s="5">
        <v>0.22454904733494074</v>
      </c>
      <c r="C14" s="6" t="s">
        <v>13</v>
      </c>
    </row>
    <row r="15" spans="1:3" x14ac:dyDescent="0.25">
      <c r="A15" t="s">
        <v>14</v>
      </c>
      <c r="B15" s="5">
        <v>0.12240808655860998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0.68309</v>
      </c>
      <c r="C19" s="6" t="s">
        <v>21</v>
      </c>
    </row>
    <row r="20" spans="1:2" x14ac:dyDescent="0.25">
      <c r="A20" t="s">
        <v>22</v>
      </c>
      <c r="B20" s="9">
        <f>B17+B19*B18</f>
        <v>0.077834707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18659991552</v>
      </c>
    </row>
    <row r="23" spans="1:2" x14ac:dyDescent="0.25">
      <c r="A23" t="s">
        <v>26</v>
      </c>
      <c r="B23" s="10">
        <v>3636000000</v>
      </c>
    </row>
    <row r="24" spans="1:2" x14ac:dyDescent="0.25">
      <c r="A24" t="s">
        <v>27</v>
      </c>
      <c r="B24" s="9">
        <f>B22/(B22+B23)</f>
        <v>0.836921359091839</v>
      </c>
    </row>
    <row r="25" spans="1:2" x14ac:dyDescent="0.25">
      <c r="A25" t="s">
        <v>28</v>
      </c>
      <c r="B25" s="9">
        <f>1-B24</f>
        <v>0.16307864090816104</v>
      </c>
    </row>
    <row r="26" spans="1:2" x14ac:dyDescent="0.25">
      <c r="A26" t="s">
        <v>29</v>
      </c>
      <c r="B26" s="11">
        <f>B24*B20+B25*B21*(1-B8)</f>
        <v>0.07213738682677265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7084000000</v>
      </c>
      <c r="C29" s="6" t="s">
        <v>32</v>
      </c>
    </row>
    <row r="30" spans="1:2" x14ac:dyDescent="0.25">
      <c r="A30" t="s">
        <v>33</v>
      </c>
      <c r="B30" s="10">
        <v>1654000000</v>
      </c>
    </row>
    <row r="31" spans="1:2" x14ac:dyDescent="0.25">
      <c r="A31" t="s">
        <v>34</v>
      </c>
      <c r="B31" s="12">
        <v>162200000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0.1732578246753247</v>
      </c>
      <c r="C5" s="5">
        <v>-0.10885016061086905</v>
      </c>
      <c r="D5" s="5">
        <v>-0.09211889053451042</v>
      </c>
      <c r="E5" s="5">
        <v>-0.07538762045815178</v>
      </c>
      <c r="F5" s="5">
        <v>-0.05865635038179316</v>
      </c>
      <c r="G5" s="5">
        <v>-0.04192508030543453</v>
      </c>
      <c r="H5" s="5">
        <v>-0.025193810229075894</v>
      </c>
      <c r="I5" s="5">
        <v>-0.008462540152717274</v>
      </c>
      <c r="J5" s="5">
        <v>0.00826872992364136</v>
      </c>
      <c r="K5" s="5">
        <v>0.024999999999999994</v>
      </c>
    </row>
    <row r="6" spans="1:11" x14ac:dyDescent="0.25">
      <c r="A6" t="s">
        <v>50</v>
      </c>
      <c r="B6" s="18">
        <f>Assumptions!B29*(1+B5)</f>
        <v>8311358430</v>
      </c>
      <c r="C6" s="18">
        <f>B6*(1+C5)</f>
        <v>7406665730</v>
      </c>
      <c r="D6" s="18">
        <f>C6*(1+D5)</f>
        <v>6724371900.392421</v>
      </c>
      <c r="E6" s="18">
        <f>D6*(1+E5)</f>
        <v>6217437503.746176</v>
      </c>
      <c r="F6" s="18">
        <f>E6*(1+F5)</f>
        <v>5852745311.049539</v>
      </c>
      <c r="G6" s="18">
        <f>F6*(1+G5)</f>
        <v>5607368493.876532</v>
      </c>
      <c r="H6" s="18">
        <f>G6*(1+H5)</f>
        <v>5466097516.157308</v>
      </c>
      <c r="I6" s="18">
        <f>H6*(1+I5)</f>
        <v>5419840446.448158</v>
      </c>
      <c r="J6" s="18">
        <f>I6*(1+J5)</f>
        <v>5464655643.329065</v>
      </c>
      <c r="K6" s="18">
        <f>J6*(1+K5)</f>
        <v>5601272034.412292</v>
      </c>
    </row>
    <row r="7" spans="1:11" x14ac:dyDescent="0.25">
      <c r="A7" t="s">
        <v>4</v>
      </c>
      <c r="B7" s="9">
        <f>Assumptions!B7</f>
        <v>0.3652885024893303</v>
      </c>
      <c r="C7" s="9">
        <f>Assumptions!B7</f>
        <v>0.3652885024893303</v>
      </c>
      <c r="D7" s="9">
        <f>Assumptions!B7</f>
        <v>0.3652885024893303</v>
      </c>
      <c r="E7" s="9">
        <f>Assumptions!B7</f>
        <v>0.3652885024893303</v>
      </c>
      <c r="F7" s="9">
        <f>Assumptions!B7</f>
        <v>0.3652885024893303</v>
      </c>
      <c r="G7" s="9">
        <f>Assumptions!B7</f>
        <v>0.3652885024893303</v>
      </c>
      <c r="H7" s="9">
        <f>Assumptions!B7</f>
        <v>0.3652885024893303</v>
      </c>
      <c r="I7" s="9">
        <f>Assumptions!B7</f>
        <v>0.3652885024893303</v>
      </c>
      <c r="J7" s="9">
        <f>Assumptions!B7</f>
        <v>0.3652885024893303</v>
      </c>
      <c r="K7" s="9">
        <f>Assumptions!B7</f>
        <v>0.3652885024893303</v>
      </c>
    </row>
    <row r="8" spans="1:11" x14ac:dyDescent="0.25">
      <c r="A8" t="s">
        <v>51</v>
      </c>
      <c r="B8" s="18">
        <f>B6*B7</f>
        <v>3036043674.5467715</v>
      </c>
      <c r="C8" s="18">
        <f>C6*C7</f>
        <v>2705569832.9507427</v>
      </c>
      <c r="D8" s="18">
        <f>D6*D7</f>
        <v>2456335741.6756797</v>
      </c>
      <c r="E8" s="18">
        <f>E6*E7</f>
        <v>2271158435.0644407</v>
      </c>
      <c r="F8" s="18">
        <f>F6*F7</f>
        <v>2137940570.1247356</v>
      </c>
      <c r="G8" s="18">
        <f>G6*G7</f>
        <v>2048307240.0340097</v>
      </c>
      <c r="H8" s="18">
        <f>H6*H7</f>
        <v>1996702576.1377509</v>
      </c>
      <c r="I8" s="18">
        <f>I6*I7</f>
        <v>1979805400.4141512</v>
      </c>
      <c r="J8" s="18">
        <f>J6*J7</f>
        <v>1996175876.5715423</v>
      </c>
      <c r="K8" s="18">
        <f>K6*K7</f>
        <v>2046080273.4858305</v>
      </c>
    </row>
    <row r="9" spans="1:11" x14ac:dyDescent="0.25">
      <c r="A9" t="s">
        <v>52</v>
      </c>
      <c r="B9" s="18">
        <f>B8*(1-Assumptions!B8)</f>
        <v>2460186232.474768</v>
      </c>
      <c r="C9" s="18">
        <f>C8*(1-Assumptions!B8)</f>
        <v>2192394565.937241</v>
      </c>
      <c r="D9" s="18">
        <f>D8*(1-Assumptions!B8)</f>
        <v>1990433610.909213</v>
      </c>
      <c r="E9" s="18">
        <f>E8*(1-Assumptions!B8)</f>
        <v>1840379557.3028407</v>
      </c>
      <c r="F9" s="18">
        <f>F8*(1-Assumptions!B8)</f>
        <v>1732429609.1541955</v>
      </c>
      <c r="G9" s="18">
        <f>G8*(1-Assumptions!B8)</f>
        <v>1659797358.6668935</v>
      </c>
      <c r="H9" s="18">
        <f>H8*(1-Assumptions!B8)</f>
        <v>1617980738.9939184</v>
      </c>
      <c r="I9" s="18">
        <f>I8*(1-Assumptions!B8)</f>
        <v>1604288512.0238595</v>
      </c>
      <c r="J9" s="18">
        <f>J8*(1-Assumptions!B8)</f>
        <v>1617553940.449385</v>
      </c>
      <c r="K9" s="18">
        <f>K8*(1-Assumptions!B8)</f>
        <v>1657992788.9606194</v>
      </c>
    </row>
    <row r="10" spans="1:11" x14ac:dyDescent="0.25">
      <c r="A10" t="s">
        <v>53</v>
      </c>
      <c r="B10" s="18">
        <f>B6*Assumptions!B9</f>
        <v>1017377482.1190727</v>
      </c>
      <c r="C10" s="18">
        <f>C6*Assumptions!B9</f>
        <v>906635779.7885301</v>
      </c>
      <c r="D10" s="18">
        <f>D6*Assumptions!B9</f>
        <v>823117497.6355201</v>
      </c>
      <c r="E10" s="18">
        <f>E6*Assumptions!B9</f>
        <v>761064628.1313099</v>
      </c>
      <c r="F10" s="18">
        <f>F6*Assumptions!B9</f>
        <v>716423354.6404506</v>
      </c>
      <c r="G10" s="18">
        <f>G6*Assumptions!B9</f>
        <v>686387247.964461</v>
      </c>
      <c r="H10" s="18">
        <f>H6*Assumptions!B9</f>
        <v>669094537.8955867</v>
      </c>
      <c r="I10" s="18">
        <f>I6*Assumptions!B9</f>
        <v>663432298.5026815</v>
      </c>
      <c r="J10" s="18">
        <f>J6*Assumptions!B9</f>
        <v>668918041.0016208</v>
      </c>
      <c r="K10" s="18">
        <f>K6*Assumptions!B9</f>
        <v>685640992.0266612</v>
      </c>
    </row>
    <row r="11" spans="1:11" x14ac:dyDescent="0.25">
      <c r="A11" t="s">
        <v>54</v>
      </c>
      <c r="B11" s="18">
        <f>-B6*B19</f>
        <v>-1087350731.3694663</v>
      </c>
      <c r="C11" s="18">
        <f>-C6*C19</f>
        <v>-989184869.295727</v>
      </c>
      <c r="D11" s="18">
        <f>-D6*D19</f>
        <v>-916394591.1386987</v>
      </c>
      <c r="E11" s="18">
        <f>-E6*E19</f>
        <v>-864260086.969937</v>
      </c>
      <c r="F11" s="18">
        <f>-F6*F19</f>
        <v>-829521805.0068305</v>
      </c>
      <c r="G11" s="18">
        <f>-G6*G19</f>
        <v>-810031138.1173851</v>
      </c>
      <c r="H11" s="18">
        <f>-H6*H19</f>
        <v>-804525328.4129499</v>
      </c>
      <c r="I11" s="18">
        <f>-I6*I19</f>
        <v>-812492853.1424136</v>
      </c>
      <c r="J11" s="18">
        <f>-J6*J19</f>
        <v>-834109167.269721</v>
      </c>
      <c r="K11" s="18">
        <f>-K6*K19</f>
        <v>-870232377.365243</v>
      </c>
    </row>
    <row r="12" spans="1:11" x14ac:dyDescent="0.25">
      <c r="A12" t="s">
        <v>55</v>
      </c>
      <c r="B12" s="18">
        <f>-(B6-Assumptions!B29)*Assumptions!B11</f>
        <v>-117438975.36288594</v>
      </c>
      <c r="C12" s="18">
        <f>-(C6-B6)*Assumptions!B11</f>
        <v>86564919.51278059</v>
      </c>
      <c r="D12" s="18">
        <f>-(D6-C6)*Assumptions!B11</f>
        <v>65284831.46160783</v>
      </c>
      <c r="E12" s="18">
        <f>-(E6-D6)*Assumptions!B11</f>
        <v>48505680.706766166</v>
      </c>
      <c r="F12" s="18">
        <f>-(F6-E6)*Assumptions!B11</f>
        <v>34895329.991856754</v>
      </c>
      <c r="G12" s="18">
        <f>-(G6-F6)*Assumptions!B11</f>
        <v>23478717.61194009</v>
      </c>
      <c r="H12" s="18">
        <f>-(H6-G6)*Assumptions!B11</f>
        <v>13517419.578776797</v>
      </c>
      <c r="I12" s="18">
        <f>-(I6-H6)*Assumptions!B11</f>
        <v>4426076.961016261</v>
      </c>
      <c r="J12" s="18">
        <f>-(J6-I6)*Assumptions!B11</f>
        <v>-4288112.318077879</v>
      </c>
      <c r="K12" s="18">
        <f>-(K6-J6)*Assumptions!B11</f>
        <v>-13072048.551122423</v>
      </c>
    </row>
    <row r="13" spans="1:11" x14ac:dyDescent="0.25">
      <c r="A13" s="19" t="s">
        <v>56</v>
      </c>
      <c r="B13" s="20">
        <f>B9+B10+B11+B12</f>
        <v>2272774007.8614883</v>
      </c>
      <c r="C13" s="20">
        <f>C9+C10+C11+C12</f>
        <v>2196410395.9428244</v>
      </c>
      <c r="D13" s="20">
        <f>D9+D10+D11+D12</f>
        <v>1962441348.8676424</v>
      </c>
      <c r="E13" s="20">
        <f>E9+E10+E11+E12</f>
        <v>1785689779.17098</v>
      </c>
      <c r="F13" s="20">
        <f>F9+F10+F11+F12</f>
        <v>1654226488.7796726</v>
      </c>
      <c r="G13" s="20">
        <f>G9+G10+G11+G12</f>
        <v>1559632186.1259093</v>
      </c>
      <c r="H13" s="20">
        <f>H9+H10+H11+H12</f>
        <v>1496067368.0553322</v>
      </c>
      <c r="I13" s="20">
        <f>I9+I10+I11+I12</f>
        <v>1459654034.3451433</v>
      </c>
      <c r="J13" s="20">
        <f>J9+J10+J11+J12</f>
        <v>1448074701.863207</v>
      </c>
      <c r="K13" s="20">
        <f>K9+K10+K11+K12</f>
        <v>1460329355.0709155</v>
      </c>
    </row>
    <row r="14" spans="1:11" x14ac:dyDescent="0.25">
      <c r="A14" t="s">
        <v>57</v>
      </c>
      <c r="B14" s="21">
        <f>1/(1+Assumptions!$B$26)^(1-0.5*Assumptions!$B$32)</f>
        <v>0.9657723772088574</v>
      </c>
      <c r="C14" s="21">
        <f>1/(1+Assumptions!$B$26)^(2-0.5*Assumptions!$B$32)</f>
        <v>0.9007916234198996</v>
      </c>
      <c r="D14" s="21">
        <f>1/(1+Assumptions!$B$26)^(3-0.5*Assumptions!$B$32)</f>
        <v>0.840183016176678</v>
      </c>
      <c r="E14" s="21">
        <f>1/(1+Assumptions!$B$26)^(4-0.5*Assumptions!$B$32)</f>
        <v>0.7836523812152331</v>
      </c>
      <c r="F14" s="21">
        <f>1/(1+Assumptions!$B$26)^(5-0.5*Assumptions!$B$32)</f>
        <v>0.730925337409066</v>
      </c>
      <c r="G14" s="21">
        <f>1/(1+Assumptions!$B$26)^(6-0.5*Assumptions!$B$32)</f>
        <v>0.6817459650133093</v>
      </c>
      <c r="H14" s="21">
        <f>1/(1+Assumptions!$B$26)^(7-0.5*Assumptions!$B$32)</f>
        <v>0.6358755635143805</v>
      </c>
      <c r="I14" s="21">
        <f>1/(1+Assumptions!$B$26)^(8-0.5*Assumptions!$B$32)</f>
        <v>0.5930914930561227</v>
      </c>
      <c r="J14" s="21">
        <f>1/(1+Assumptions!$B$26)^(9-0.5*Assumptions!$B$32)</f>
        <v>0.5531860938191027</v>
      </c>
      <c r="K14" s="21">
        <f>1/(1+Assumptions!$B$26)^(10-0.5*Assumptions!$B$32)</f>
        <v>0.5159656781080819</v>
      </c>
    </row>
    <row r="15" spans="1:11" x14ac:dyDescent="0.25">
      <c r="A15" s="19" t="s">
        <v>58</v>
      </c>
      <c r="B15" s="20">
        <f>B13*B14</f>
        <v>2194982356.430892</v>
      </c>
      <c r="C15" s="20">
        <f>C13*C14</f>
        <v>1978508086.2576811</v>
      </c>
      <c r="D15" s="20">
        <f>D13*D14</f>
        <v>1648809891.5614443</v>
      </c>
      <c r="E15" s="20">
        <f>E13*E14</f>
        <v>1399360047.5590422</v>
      </c>
      <c r="F15" s="20">
        <f>F13*F14</f>
        <v>1209116054.4622967</v>
      </c>
      <c r="G15" s="20">
        <f>G13*G14</f>
        <v>1063272949.7962253</v>
      </c>
      <c r="H15" s="20">
        <f>H13*H14</f>
        <v>951312680.7176604</v>
      </c>
      <c r="I15" s="20">
        <f>I13*I14</f>
        <v>865708390.5751541</v>
      </c>
      <c r="J15" s="20">
        <f>J13*J14</f>
        <v>801054787.8819692</v>
      </c>
      <c r="K15" s="20">
        <f>K13*K14</f>
        <v>753479825.9503028</v>
      </c>
    </row>
    <row r="17" spans="1:2" x14ac:dyDescent="0.25">
      <c r="A17" s="22" t="s">
        <v>59</v>
      </c>
      <c r="B17" s="23">
        <f>SUM(B15:K15)</f>
        <v>12865605071.192667</v>
      </c>
    </row>
    <row r="19" spans="1:11" x14ac:dyDescent="0.25">
      <c r="A19" t="s">
        <v>7</v>
      </c>
      <c r="B19" s="9">
        <f>Assumptions!$B$10+($B$20-Assumptions!$B$10)*0/9</f>
        <v>0.13082707724944864</v>
      </c>
      <c r="C19" s="9">
        <f>Assumptions!$B$10+($B$20-Assumptions!$B$10)*1/9</f>
        <v>0.13355332957569924</v>
      </c>
      <c r="D19" s="9">
        <f>Assumptions!$B$10+($B$20-Assumptions!$B$10)*2/9</f>
        <v>0.1362795819019498</v>
      </c>
      <c r="E19" s="9">
        <f>Assumptions!$B$10+($B$20-Assumptions!$B$10)*3/9</f>
        <v>0.1390058342282004</v>
      </c>
      <c r="F19" s="9">
        <f>Assumptions!$B$10+($B$20-Assumptions!$B$10)*4/9</f>
        <v>0.141732086554451</v>
      </c>
      <c r="G19" s="9">
        <f>Assumptions!$B$10+($B$20-Assumptions!$B$10)*5/9</f>
        <v>0.14445833888070156</v>
      </c>
      <c r="H19" s="9">
        <f>Assumptions!$B$10+($B$20-Assumptions!$B$10)*6/9</f>
        <v>0.14718459120695215</v>
      </c>
      <c r="I19" s="9">
        <f>Assumptions!$B$10+($B$20-Assumptions!$B$10)*7/9</f>
        <v>0.14991084353320275</v>
      </c>
      <c r="J19" s="9">
        <f>Assumptions!$B$10+($B$20-Assumptions!$B$10)*8/9</f>
        <v>0.15263709585945331</v>
      </c>
      <c r="K19" s="9">
        <f>Assumptions!$B$10+($B$20-Assumptions!$B$10)*9/9</f>
        <v>0.1553633481857039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0.1553633481857039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1460329355.0709155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1657992788.9606194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0.1113342510098011</v>
      </c>
    </row>
    <row r="7" spans="1:2" x14ac:dyDescent="0.25">
      <c r="A7" t="s">
        <v>66</v>
      </c>
      <c r="B7" s="18">
        <f>-MAX(B5,0)*B6</f>
        <v>-184591385.3385818</v>
      </c>
    </row>
    <row r="8" spans="1:2" x14ac:dyDescent="0.25">
      <c r="A8" t="s">
        <v>67</v>
      </c>
      <c r="B8" s="18">
        <f>IF(OR(Assumptions!$B$33=0,Assumptions!B12&lt;=0),B5,MAX(B5+B7,0))</f>
        <v>1473401403.6220376</v>
      </c>
    </row>
    <row r="9" spans="1:2" x14ac:dyDescent="0.25">
      <c r="A9" t="s">
        <v>68</v>
      </c>
      <c r="B9" s="18">
        <f>B8*(1+Assumptions!B12)/(Assumptions!B26-Assumptions!B12)</f>
        <v>32039036110.81849</v>
      </c>
    </row>
    <row r="10" spans="1:2" x14ac:dyDescent="0.25">
      <c r="A10" t="s">
        <v>69</v>
      </c>
      <c r="B10" s="18">
        <f>B9/(1+Assumptions!B26)^(10-0.5*Assumptions!B32)</f>
        <v>16531042992.847786</v>
      </c>
    </row>
    <row r="11" spans="1:2" x14ac:dyDescent="0.25">
      <c r="A11" t="s">
        <v>70</v>
      </c>
      <c r="B11" s="18">
        <f>Forecast!B17+B10</f>
        <v>29396648064.04045</v>
      </c>
    </row>
    <row r="12" spans="1:2" x14ac:dyDescent="0.25">
      <c r="A12" t="s">
        <v>71</v>
      </c>
      <c r="B12" s="18">
        <f>-Assumptions!B30</f>
        <v>-1654000000</v>
      </c>
    </row>
    <row r="13" spans="1:2" x14ac:dyDescent="0.25">
      <c r="A13" t="s">
        <v>72</v>
      </c>
      <c r="B13" s="18">
        <f>B11+B12</f>
        <v>27742648064.04045</v>
      </c>
    </row>
    <row r="14" spans="1:2" x14ac:dyDescent="0.25">
      <c r="A14" s="19" t="s">
        <v>73</v>
      </c>
      <c r="B14" s="24">
        <f>B13/Assumptions!B31</f>
        <v>171.03975378569945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2731721265.5124917</v>
      </c>
    </row>
    <row r="18" spans="1:2" x14ac:dyDescent="0.25">
      <c r="A18" t="s">
        <v>68</v>
      </c>
      <c r="B18" s="18">
        <f>B17*Assumptions!B13</f>
        <v>16954525728.701345</v>
      </c>
    </row>
    <row r="19" spans="1:2" x14ac:dyDescent="0.25">
      <c r="A19" t="s">
        <v>69</v>
      </c>
      <c r="B19" s="18">
        <f>B18/(1+Assumptions!B26)^(10-0.5*Assumptions!B32)</f>
        <v>8747953364.610312</v>
      </c>
    </row>
    <row r="20" spans="1:2" x14ac:dyDescent="0.25">
      <c r="A20" t="s">
        <v>70</v>
      </c>
      <c r="B20" s="18">
        <f>Forecast!B17+B19</f>
        <v>21613558435.80298</v>
      </c>
    </row>
    <row r="21" spans="1:2" x14ac:dyDescent="0.25">
      <c r="A21" t="s">
        <v>71</v>
      </c>
      <c r="B21" s="18">
        <f>-Assumptions!B30</f>
        <v>-1654000000</v>
      </c>
    </row>
    <row r="22" spans="1:2" x14ac:dyDescent="0.25">
      <c r="A22" t="s">
        <v>72</v>
      </c>
      <c r="B22" s="18">
        <f>B20+B21</f>
        <v>19959558435.80298</v>
      </c>
    </row>
    <row r="23" spans="1:2" x14ac:dyDescent="0.25">
      <c r="A23" s="19" t="s">
        <v>73</v>
      </c>
      <c r="B23" s="25">
        <f>B22/Assumptions!B31</f>
        <v>123.05523080026497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123.3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171.03975378569945</v>
      </c>
    </row>
    <row r="29" spans="1:2" x14ac:dyDescent="0.25">
      <c r="A29" s="19" t="s">
        <v>81</v>
      </c>
      <c r="B29" s="11">
        <f>B28/B26-1</f>
        <v>0.38718372899999554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0.052137</v>
      </c>
      <c r="B5" s="31">
        <v>237.91737492631142</v>
      </c>
      <c r="C5" s="31">
        <v>258.57778000410894</v>
      </c>
      <c r="D5" s="31">
        <v>287.1044705713946</v>
      </c>
      <c r="E5" s="31">
        <v>328.82763058906295</v>
      </c>
      <c r="F5" s="31">
        <v>395.2981173691138</v>
      </c>
    </row>
    <row r="6" spans="1:6" x14ac:dyDescent="0.25">
      <c r="A6" s="30">
        <v>0.062137</v>
      </c>
      <c r="B6" s="31">
        <v>189.55981036276364</v>
      </c>
      <c r="C6" s="31">
        <v>200.05940387995528</v>
      </c>
      <c r="D6" s="31">
        <v>213.56121298077207</v>
      </c>
      <c r="E6" s="31">
        <v>231.4665269502866</v>
      </c>
      <c r="F6" s="31">
        <v>256.2093868774352</v>
      </c>
    </row>
    <row r="7" spans="1:6" x14ac:dyDescent="0.25">
      <c r="A7" s="30">
        <v>0.072137</v>
      </c>
      <c r="B7" s="31">
        <v>158.0217395983616</v>
      </c>
      <c r="C7" s="31">
        <v>163.84807169875796</v>
      </c>
      <c r="D7" s="32">
        <v>171.04105298641775</v>
      </c>
      <c r="E7" s="31">
        <v>180.0871855333666</v>
      </c>
      <c r="F7" s="31">
        <v>191.7349753818087</v>
      </c>
    </row>
    <row r="8" spans="1:6" x14ac:dyDescent="0.25">
      <c r="A8" s="30">
        <v>0.082137</v>
      </c>
      <c r="B8" s="31">
        <v>135.79239033147115</v>
      </c>
      <c r="C8" s="31">
        <v>139.18068853296225</v>
      </c>
      <c r="D8" s="31">
        <v>143.26418481307613</v>
      </c>
      <c r="E8" s="31">
        <v>148.2428901271677</v>
      </c>
      <c r="F8" s="31">
        <v>154.40167910683573</v>
      </c>
    </row>
    <row r="9" spans="1:6" x14ac:dyDescent="0.25">
      <c r="A9" s="30">
        <v>0.092137</v>
      </c>
      <c r="B9" s="31">
        <v>119.25547123423846</v>
      </c>
      <c r="C9" s="31">
        <v>121.26188147112205</v>
      </c>
      <c r="D9" s="31">
        <v>123.64969092565583</v>
      </c>
      <c r="E9" s="31">
        <v>126.51097015587699</v>
      </c>
      <c r="F9" s="31">
        <v>129.97001771850543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7084000000</v>
      </c>
      <c r="C5" s="18">
        <v>5936000000</v>
      </c>
      <c r="D5" s="18">
        <v>6631000000</v>
      </c>
      <c r="E5" s="18">
        <v>11186000000</v>
      </c>
      <c r="F5" s="6" t="s">
        <v>91</v>
      </c>
    </row>
    <row r="6" spans="1:6" x14ac:dyDescent="0.25">
      <c r="A6" t="s">
        <v>51</v>
      </c>
      <c r="B6" s="18">
        <v>2375000000</v>
      </c>
      <c r="C6" s="18">
        <v>1711000000</v>
      </c>
      <c r="D6" s="18">
        <v>2252000000</v>
      </c>
      <c r="E6" s="18">
        <v>5571000000</v>
      </c>
      <c r="F6" s="6" t="s">
        <v>92</v>
      </c>
    </row>
    <row r="7" spans="1:6" x14ac:dyDescent="0.25">
      <c r="A7" t="s">
        <v>93</v>
      </c>
      <c r="B7" s="18">
        <v>898000000</v>
      </c>
      <c r="C7" s="18">
        <v>925000000</v>
      </c>
      <c r="D7" s="18">
        <v>869000000</v>
      </c>
      <c r="E7" s="18">
        <v>850000000</v>
      </c>
      <c r="F7" s="6" t="s">
        <v>94</v>
      </c>
    </row>
    <row r="8" spans="1:6" x14ac:dyDescent="0.25">
      <c r="A8" t="s">
        <v>95</v>
      </c>
      <c r="B8" s="18">
        <v>951000000</v>
      </c>
      <c r="C8" s="18">
        <v>521000000</v>
      </c>
      <c r="D8" s="18">
        <v>1724000000</v>
      </c>
      <c r="E8" s="18">
        <v>462000000</v>
      </c>
      <c r="F8" s="6" t="s">
        <v>96</v>
      </c>
    </row>
    <row r="9" spans="1:6" x14ac:dyDescent="0.25">
      <c r="A9" t="s">
        <v>97</v>
      </c>
      <c r="B9" s="18">
        <v>117000000</v>
      </c>
      <c r="C9" s="18">
        <v>-83000000</v>
      </c>
      <c r="D9" s="18">
        <v>-20000000</v>
      </c>
      <c r="E9" s="18">
        <v>900000000</v>
      </c>
      <c r="F9" s="6" t="s">
        <v>98</v>
      </c>
    </row>
    <row r="10" spans="1:6" x14ac:dyDescent="0.25">
      <c r="A10" t="s">
        <v>99</v>
      </c>
      <c r="B10" s="18">
        <v>3636000000</v>
      </c>
      <c r="C10" s="18">
        <v>3246000000</v>
      </c>
      <c r="D10" s="18">
        <v>3232000000</v>
      </c>
      <c r="E10" s="18">
        <v>3225000000</v>
      </c>
      <c r="F10" s="6" t="s">
        <v>100</v>
      </c>
    </row>
    <row r="11" spans="1:6" x14ac:dyDescent="0.25">
      <c r="A11" t="s">
        <v>101</v>
      </c>
      <c r="B11" s="18">
        <v>1982000000</v>
      </c>
      <c r="C11" s="18">
        <v>1614000000</v>
      </c>
      <c r="D11" s="18">
        <v>2032000000</v>
      </c>
      <c r="E11" s="18">
        <v>2323000000</v>
      </c>
      <c r="F11" s="6" t="s">
        <v>102</v>
      </c>
    </row>
    <row r="12" spans="1:6" x14ac:dyDescent="0.25">
      <c r="A12" t="s">
        <v>34</v>
      </c>
      <c r="B12" s="34">
        <v>162200000</v>
      </c>
      <c r="C12" s="34">
        <v>180700000</v>
      </c>
      <c r="D12" s="34">
        <v>193800000</v>
      </c>
      <c r="E12" s="34">
        <v>204200000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