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<sst xmlns="http://schemas.openxmlformats.org/spreadsheetml/2006/main" count="70" uniqueCount="67">
  <si>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Citizens Financial Group, Inc. (CFG)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</si>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</sst>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1.04154</v>
      </c>
    </row>
    <row r="9" spans="1:2" x14ac:dyDescent="0.25">
      <c r="A9" t="s">
        <v>8</v>
      </c>
      <c r="B9" s="8">
        <f>B6+B8*B7</f>
        <v>0.092997142</v>
      </c>
    </row>
    <row r="10" spans="1:2" x14ac:dyDescent="0.25">
      <c r="A10" t="s">
        <v>9</v>
      </c>
      <c r="B10" s="8">
        <f>MEDIAN('Source data'!B9:E9)</f>
        <v>0.06878575382911976</v>
      </c>
    </row>
    <row r="11" spans="1:2" x14ac:dyDescent="0.25">
      <c r="A11" t="s">
        <v>10</v>
      </c>
      <c r="B11" s="8">
        <f>IFERROR(MIN(MAX(MEDIAN('Source data'!B10:E10),0),1),0)</f>
        <v>0.6224010731052985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24206000000</v>
      </c>
    </row>
    <row r="15" spans="1:2" x14ac:dyDescent="0.25">
      <c r="A15" t="s">
        <v>14</v>
      </c>
      <c r="B15" s="10">
        <f>'Source data'!B8</f>
        <v>436890731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0.02597342683151873</v>
      </c>
    </row>
    <row r="18" spans="1:2" x14ac:dyDescent="0.25">
      <c r="A18" t="s">
        <v>17</v>
      </c>
      <c r="B18" s="8">
        <f>MIN(B10,B12)</f>
        <v>0.06878575382911976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0.06878575382911976</v>
      </c>
      <c r="C22" s="8">
        <f>$B$10+($B$18-$B$10)*C21/$B$16</f>
        <v>0.06878575382911976</v>
      </c>
      <c r="D22" s="8">
        <f>$B$10+($B$18-$B$10)*D21/$B$16</f>
        <v>0.06878575382911976</v>
      </c>
      <c r="E22" s="8">
        <f>$B$10+($B$18-$B$10)*E21/$B$16</f>
        <v>0.06878575382911976</v>
      </c>
      <c r="F22" s="8">
        <f>$B$10+($B$18-$B$10)*F21/$B$16</f>
        <v>0.06878575382911976</v>
      </c>
      <c r="G22" s="8">
        <f>$B$10+($B$18-$B$10)*G21/$B$16</f>
        <v>0.06878575382911976</v>
      </c>
      <c r="H22" s="8">
        <f>$B$10+($B$18-$B$10)*H21/$B$16</f>
        <v>0.06878575382911976</v>
      </c>
      <c r="I22" s="8">
        <f>$B$10+($B$18-$B$10)*I21/$B$16</f>
        <v>0.06878575382911976</v>
      </c>
      <c r="J22" s="8">
        <f>$B$10+($B$18-$B$10)*J21/$B$16</f>
        <v>0.06878575382911976</v>
      </c>
      <c r="K22" s="8">
        <f>$B$10+($B$18-$B$10)*K21/$B$16</f>
        <v>0.06878575382911976</v>
      </c>
    </row>
    <row r="23" spans="1:11" x14ac:dyDescent="0.25">
      <c r="A23" t="s">
        <v>31</v>
      </c>
      <c r="B23" s="8">
        <f>$B$17+($B$13-$B$17)*B21/$B$16</f>
        <v>0.025876084148366858</v>
      </c>
      <c r="C23" s="8">
        <f>$B$17+($B$13-$B$17)*C21/$B$16</f>
        <v>0.025778741465214985</v>
      </c>
      <c r="D23" s="8">
        <f>$B$17+($B$13-$B$17)*D21/$B$16</f>
        <v>0.02568139878206311</v>
      </c>
      <c r="E23" s="8">
        <f>$B$17+($B$13-$B$17)*E21/$B$16</f>
        <v>0.025584056098911238</v>
      </c>
      <c r="F23" s="8">
        <f>$B$17+($B$13-$B$17)*F21/$B$16</f>
        <v>0.025486713415759366</v>
      </c>
      <c r="G23" s="8">
        <f>$B$17+($B$13-$B$17)*G21/$B$16</f>
        <v>0.025389370732607493</v>
      </c>
      <c r="H23" s="8">
        <f>$B$17+($B$13-$B$17)*H21/$B$16</f>
        <v>0.02529202804945562</v>
      </c>
      <c r="I23" s="8">
        <f>$B$17+($B$13-$B$17)*I21/$B$16</f>
        <v>0.025194685366303746</v>
      </c>
      <c r="J23" s="8">
        <f>$B$17+($B$13-$B$17)*J21/$B$16</f>
        <v>0.025097342683151874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24206000000</v>
      </c>
      <c r="C24" s="9">
        <f>B24*(1+B23)</f>
        <v>24832356492.89537</v>
      </c>
      <c r="D24" s="9">
        <f>C24*(1+C23)</f>
        <v>25472503390.897774</v>
      </c>
      <c r="E24" s="9">
        <f>D24*(1+D23)</f>
        <v>26126672908.45688</v>
      </c>
      <c r="F24" s="9">
        <f>E24*(1+E23)</f>
        <v>26795099173.824745</v>
      </c>
      <c r="G24" s="9">
        <f>F24*(1+F23)</f>
        <v>27478018187.41487</v>
      </c>
      <c r="H24" s="9">
        <f>G24*(1+G23)</f>
        <v>28175667778.17248</v>
      </c>
      <c r="I24" s="9">
        <f>H24*(1+H23)</f>
        <v>28888287557.930164</v>
      </c>
      <c r="J24" s="9">
        <f>I24*(1+I23)</f>
        <v>29616118873.723526</v>
      </c>
      <c r="K24" s="9">
        <f>J24*(1+J23)</f>
        <v>30359404758.04233</v>
      </c>
    </row>
    <row r="25" spans="1:11" x14ac:dyDescent="0.25">
      <c r="A25" t="s">
        <v>33</v>
      </c>
      <c r="B25" s="9">
        <f>(B22-$B$9)*B24</f>
        <v>-586060862.0643271</v>
      </c>
      <c r="C25" s="9">
        <f>(C22-$B$9)*C24</f>
        <v>-601225822.2471681</v>
      </c>
      <c r="D25" s="9">
        <f>(D22-$B$9)*D24</f>
        <v>-616724667.2810892</v>
      </c>
      <c r="E25" s="9">
        <f>(E22-$B$9)*E24</f>
        <v>-632563019.4002701</v>
      </c>
      <c r="F25" s="9">
        <f>(F22-$B$9)*F24</f>
        <v>-648746547.1747034</v>
      </c>
      <c r="G25" s="9">
        <f>(G22-$B$9)*G24</f>
        <v>-665280964.5020086</v>
      </c>
      <c r="H25" s="9">
        <f>(H22-$B$9)*H24</f>
        <v>-682172029.5510968</v>
      </c>
      <c r="I25" s="9">
        <f>(I22-$B$9)*I24</f>
        <v>-699425543.6570572</v>
      </c>
      <c r="J25" s="9">
        <f>(J22-$B$9)*J24</f>
        <v>-717047350.1666528</v>
      </c>
      <c r="K25" s="9">
        <f>(K22-$B$9)*K24</f>
        <v>-735043333.2338314</v>
      </c>
    </row>
    <row r="26" spans="1:11" x14ac:dyDescent="0.25">
      <c r="A26" t="s">
        <v>34</v>
      </c>
      <c r="B26" s="14">
        <f>1/(1+$B$9)^B21</f>
        <v>0.914915475597831</v>
      </c>
      <c r="C26" s="14">
        <f>1/(1+$B$9)^C21</f>
        <v>0.8370703274884053</v>
      </c>
      <c r="D26" s="14">
        <f>1/(1+$B$9)^D21</f>
        <v>0.7658485967828864</v>
      </c>
      <c r="E26" s="14">
        <f>1/(1+$B$9)^E21</f>
        <v>0.7006867331615461</v>
      </c>
      <c r="F26" s="14">
        <f>1/(1+$B$9)^F21</f>
        <v>0.6410691357155864</v>
      </c>
      <c r="G26" s="14">
        <f>1/(1+$B$9)^G21</f>
        <v>0.5865240731943162</v>
      </c>
      <c r="H26" s="14">
        <f>1/(1+$B$9)^H21</f>
        <v>0.5366199513761548</v>
      </c>
      <c r="I26" s="14">
        <f>1/(1+$B$9)^I21</f>
        <v>0.4909618980285997</v>
      </c>
      <c r="J26" s="14">
        <f>1/(1+$B$9)^J21</f>
        <v>0.44918863843525003</v>
      </c>
      <c r="K26" s="14">
        <f>1/(1+$B$9)^K21</f>
        <v>0.410969636767129</v>
      </c>
    </row>
    <row r="27" spans="1:11" x14ac:dyDescent="0.25">
      <c r="A27" s="15" t="s">
        <v>35</v>
      </c>
      <c r="B27" s="16">
        <f>B25*B26</f>
        <v>-536196152.3448587</v>
      </c>
      <c r="C27" s="16">
        <f>C25*C26</f>
        <v>-503268295.9229227</v>
      </c>
      <c r="D27" s="16">
        <f>D25*D26</f>
        <v>-472317721.0386147</v>
      </c>
      <c r="E27" s="16">
        <f>E25*E26</f>
        <v>-443228515.582379</v>
      </c>
      <c r="F27" s="16">
        <f>F25*F26</f>
        <v>-415891388.295758</v>
      </c>
      <c r="G27" s="16">
        <f>G25*G26</f>
        <v>-390203301.11836135</v>
      </c>
      <c r="H27" s="16">
        <f>H25*H26</f>
        <v>-366067121.3278824</v>
      </c>
      <c r="I27" s="16">
        <f>I25*I26</f>
        <v>-343391292.443554</v>
      </c>
      <c r="J27" s="16">
        <f>J25*J26</f>
        <v>-322089522.9149627</v>
      </c>
      <c r="K27" s="16">
        <f>K25*K26</f>
        <v>-302080491.6672075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24206000000</v>
      </c>
    </row>
    <row r="31" spans="1:2" x14ac:dyDescent="0.25">
      <c r="A31" t="s">
        <v>38</v>
      </c>
      <c r="B31" s="9">
        <f>SUM(B27:K27)</f>
        <v>-4094733802.656501</v>
      </c>
    </row>
    <row r="32" spans="1:2" x14ac:dyDescent="0.25">
      <c r="A32" t="s">
        <v>39</v>
      </c>
      <c r="B32" s="9">
        <f>K24*(1+K23)</f>
        <v>31118389876.99339</v>
      </c>
    </row>
    <row r="33" spans="1:2" x14ac:dyDescent="0.25">
      <c r="A33" t="s">
        <v>40</v>
      </c>
      <c r="B33" s="9">
        <f>(B18-B9)*B32</f>
        <v>-753419416.5646772</v>
      </c>
    </row>
    <row r="34" spans="1:2" x14ac:dyDescent="0.25">
      <c r="A34" t="s">
        <v>41</v>
      </c>
      <c r="B34" s="9">
        <f>B33/(B9-B13)</f>
        <v>-11080162995.154665</v>
      </c>
    </row>
    <row r="35" spans="1:2" x14ac:dyDescent="0.25">
      <c r="A35" t="s">
        <v>42</v>
      </c>
      <c r="B35" s="9">
        <f>B34*K26</f>
        <v>-4553610561.439297</v>
      </c>
    </row>
    <row r="36" spans="1:2" x14ac:dyDescent="0.25">
      <c r="A36" s="15" t="s">
        <v>43</v>
      </c>
      <c r="B36" s="16">
        <f>B30+B31+B35</f>
        <v>15557655635.904202</v>
      </c>
    </row>
    <row r="37" spans="1:2" x14ac:dyDescent="0.25">
      <c r="A37" s="15" t="s">
        <v>44</v>
      </c>
      <c r="B37" s="17">
        <f>B36/B15</f>
        <v>35.60994668001826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63.81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35.60994668001826</v>
      </c>
    </row>
    <row r="43" spans="1:2" x14ac:dyDescent="0.25">
      <c r="A43" s="15" t="s">
        <v>48</v>
      </c>
      <c r="B43" s="21">
        <f>B42/B40-1</f>
        <v>-0.44193783607556403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1688000000</v>
      </c>
      <c r="C5" s="9">
        <v>1372000000</v>
      </c>
      <c r="D5" s="9">
        <v>1491000000</v>
      </c>
      <c r="E5" s="9">
        <v>1960000000</v>
      </c>
      <c r="F5" s="6" t="s">
        <v>57</v>
      </c>
    </row>
    <row r="6" spans="1:6" x14ac:dyDescent="0.25">
      <c r="A6" t="s">
        <v>37</v>
      </c>
      <c r="B6" s="9">
        <v>24206000000</v>
      </c>
      <c r="C6" s="9">
        <v>22141000000</v>
      </c>
      <c r="D6" s="9">
        <v>22328000000</v>
      </c>
      <c r="E6" s="9">
        <v>21676000000</v>
      </c>
      <c r="F6" s="6" t="s">
        <v>58</v>
      </c>
    </row>
    <row r="7" spans="1:6" x14ac:dyDescent="0.25">
      <c r="A7" t="s">
        <v>59</v>
      </c>
      <c r="B7" s="9">
        <v>888000000</v>
      </c>
      <c r="C7" s="9">
        <v>903000000</v>
      </c>
      <c r="D7" s="9">
        <v>928000000</v>
      </c>
      <c r="E7" s="9">
        <v>892000000</v>
      </c>
      <c r="F7" s="6" t="s">
        <v>60</v>
      </c>
    </row>
    <row r="8" spans="1:6" x14ac:dyDescent="0.25">
      <c r="A8" t="s">
        <v>14</v>
      </c>
      <c r="B8" s="10">
        <v>436890731</v>
      </c>
      <c r="C8" s="10">
        <v>453510245</v>
      </c>
      <c r="D8" s="10">
        <v>476693148</v>
      </c>
      <c r="E8" s="10">
        <v>477803142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0.0762386522740617</v>
      </c>
      <c r="C9" s="8">
        <f>IF(AND(ISNUMBER(C5),N(D6)&gt;0),C5/D6,"")</f>
        <v>0.06144750985309925</v>
      </c>
      <c r="D9" s="8">
        <f>IF(AND(ISNUMBER(D5),N(E6)&gt;0),D5/E6,"")</f>
        <v>0.06878575382911976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0.5260663507109005</v>
      </c>
      <c r="C10" s="8">
        <f>IF(AND(ISNUMBER(C9),N(C5)&gt;0,ISNUMBER(C7)),C7/C5,"")</f>
        <v>0.6581632653061225</v>
      </c>
      <c r="D10" s="8">
        <f>IF(AND(ISNUMBER(D9),N(D5)&gt;0,ISNUMBER(D7)),D7/D5,"")</f>
        <v>0.6224010731052985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