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<sst xmlns="http://schemas.openxmlformats.org/spreadsheetml/2006/main" count="113" uniqueCount="101">
  <si>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Citizens Financial Group, Inc. (CFG)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</si>
  <si>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</si>
  <si>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</si>
  <si>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</si>
  <si>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</si>
  <si>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</si>
  <si>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</si>
  <si>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</si>
  <si>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</si>
  <si>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</si>
  <si>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</si>
  <si>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</si>
  <si>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</si>
  <si>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</si>
  <si>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</si>
  <si>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</si>
  <si>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</si>
  <si>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</si>
  <si>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</si>
  <si>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</si>
  <si>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</si>
  <si>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</si>
  <si>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32.2%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</si>
  <si>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</si>
  <si>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</si>
  <si>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</si>
  <si>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</si>
  <si>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</si>
  <si>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</si>
  <si>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</si>
  <si>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</si>
  <si>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</si>
  <si>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</si>
  <si>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</si>
  <si>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</si>
  <si>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</si>
  <si>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</si>
  <si>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</si>
  <si>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</si>
  <si>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</si>
  <si>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</si>
  <si>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</si>
  <si>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</si>
  <si>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</si>
  <si>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</si>
  <si>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</si>
  <si>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</si>
  <si>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</si>
  <si>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</si>
  <si>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</si>
  <si>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</si>
  <si>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</si>
  <si>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</si>
  <si>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</si>
  <si>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</si>
  <si>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</si>
  <si>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</si>
  <si>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</si>
  <si>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</si>
  <si>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</si>
  <si>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</si>
  <si>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</si>
  <si>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</si>
  <si>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</si>
  <si>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</si>
  <si>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</si>
  <si>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</si>
  <si>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</si>
  <si>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</si>
  <si>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</si>
  <si>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</si>
  <si>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</si>
  <si>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</si>
  <si>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</si>
  <si>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</si>
  <si>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</si>
  <si>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</si>
  <si>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</si>
  <si>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</si>
  <si>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</si>
  <si>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</si>
  <si>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</si>
  <si>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</si>
  <si>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</si>
  <si>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</si>
  <si>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</si>
  <si>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</si>
  <si>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</si>
  <si>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</si>
  <si>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</si>
  <si>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</si>
  <si>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</si>
  <si>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</si>
  <si>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</si>
  <si>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</si>
  <si>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</si>
  <si>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</si>
  <si>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</si>
  <si>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</si>
  <si>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1.83% of revenue against depreciation of 6.26%. A business cannot depreciate more than it invests indefinitely. Capex has been set to 6.26%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</si>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</sst>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0.009305158100850308</v>
      </c>
    </row>
    <row r="7" spans="1:2" x14ac:dyDescent="0.25">
      <c r="A7" t="s">
        <v>5</v>
      </c>
      <c r="B7" s="6">
        <v>0.275475352860089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0.0625739258575462</v>
      </c>
    </row>
    <row r="10" spans="1:2" x14ac:dyDescent="0.25">
      <c r="A10" t="s">
        <v>8</v>
      </c>
      <c r="B10" s="6">
        <v>0.0625739258575462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9.205165388453315</v>
      </c>
    </row>
    <row r="14" spans="1:3" x14ac:dyDescent="0.25">
      <c r="A14" t="s">
        <v>12</v>
      </c>
      <c r="B14" s="6">
        <v>0.09071323963591593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0.99799</v>
      </c>
      <c r="C19" s="8" t="s">
        <v>19</v>
      </c>
    </row>
    <row r="20" spans="1:2" x14ac:dyDescent="0.25">
      <c r="A20" t="s">
        <v>20</v>
      </c>
      <c r="B20" s="10">
        <f>B17+B19*B18</f>
        <v>0.10486945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28235694080</v>
      </c>
    </row>
    <row r="23" spans="1:2" x14ac:dyDescent="0.25">
      <c r="A23" t="s">
        <v>24</v>
      </c>
      <c r="B23" s="11">
        <v>11282000000</v>
      </c>
    </row>
    <row r="24" spans="1:2" x14ac:dyDescent="0.25">
      <c r="A24" t="s">
        <v>25</v>
      </c>
      <c r="B24" s="10">
        <f>B22/(B22+B23)</f>
        <v>0.7145076335385204</v>
      </c>
    </row>
    <row r="25" spans="1:2" x14ac:dyDescent="0.25">
      <c r="A25" t="s">
        <v>26</v>
      </c>
      <c r="B25" s="10">
        <f>1-B24</f>
        <v>0.2854923664614796</v>
      </c>
    </row>
    <row r="26" spans="1:2" x14ac:dyDescent="0.25">
      <c r="A26" t="s">
        <v>27</v>
      </c>
      <c r="B26" s="12">
        <f>B24*B20+B25*B21*(1-B8)</f>
        <v>0.09071323963591593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8247000000</v>
      </c>
      <c r="C29" s="8" t="s">
        <v>30</v>
      </c>
    </row>
    <row r="30" spans="1:2" x14ac:dyDescent="0.25">
      <c r="A30" t="s">
        <v>31</v>
      </c>
      <c r="B30" s="11">
        <v>-2406000000</v>
      </c>
    </row>
    <row r="31" spans="1:2" x14ac:dyDescent="0.25">
      <c r="A31" t="s">
        <v>32</v>
      </c>
      <c r="B31" s="13">
        <v>436890731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0.009305158100850308</v>
      </c>
      <c r="C5" s="10">
        <f>Assumptions!B6</f>
        <v>0.009305158100850308</v>
      </c>
      <c r="D5" s="10">
        <f>Assumptions!B6</f>
        <v>0.009305158100850308</v>
      </c>
      <c r="E5" s="10">
        <f>Assumptions!B6</f>
        <v>0.009305158100850308</v>
      </c>
      <c r="F5" s="10">
        <f>Assumptions!B6</f>
        <v>0.009305158100850308</v>
      </c>
    </row>
    <row r="6" spans="1:6" x14ac:dyDescent="0.25">
      <c r="A6" t="s">
        <v>43</v>
      </c>
      <c r="B6" s="18">
        <f>Assumptions!B29*(1+B5)</f>
        <v>8323739638.857713</v>
      </c>
      <c r="C6" s="18">
        <f>B6*(1+C5)</f>
        <v>8401193352.187598</v>
      </c>
      <c r="D6" s="18">
        <f>C6*(1+D5)</f>
        <v>8479367784.565516</v>
      </c>
      <c r="E6" s="18">
        <f>D6*(1+E5)</f>
        <v>8558269642.396155</v>
      </c>
      <c r="F6" s="18">
        <f>E6*(1+F5)</f>
        <v>8637905694.48836</v>
      </c>
    </row>
    <row r="7" spans="1:6" x14ac:dyDescent="0.25">
      <c r="A7" t="s">
        <v>5</v>
      </c>
      <c r="B7" s="10">
        <f>Assumptions!B7</f>
        <v>0.275475352860089</v>
      </c>
      <c r="C7" s="10">
        <f>Assumptions!B7</f>
        <v>0.275475352860089</v>
      </c>
      <c r="D7" s="10">
        <f>Assumptions!B7</f>
        <v>0.275475352860089</v>
      </c>
      <c r="E7" s="10">
        <f>Assumptions!B7</f>
        <v>0.275475352860089</v>
      </c>
      <c r="F7" s="10">
        <f>Assumptions!B7</f>
        <v>0.275475352860089</v>
      </c>
    </row>
    <row r="8" spans="1:6" x14ac:dyDescent="0.25">
      <c r="A8" t="s">
        <v>44</v>
      </c>
      <c r="B8" s="18">
        <f>B6*B7</f>
        <v>2292985114.1298385</v>
      </c>
      <c r="C8" s="18">
        <f>C6*C7</f>
        <v>2314321703.139713</v>
      </c>
      <c r="D8" s="18">
        <f>D6*D7</f>
        <v>2335856832.483657</v>
      </c>
      <c r="E8" s="18">
        <f>E6*E7</f>
        <v>2357592349.6108685</v>
      </c>
      <c r="F8" s="18">
        <f>F6*F7</f>
        <v>2379530119.161353</v>
      </c>
    </row>
    <row r="9" spans="1:6" x14ac:dyDescent="0.25">
      <c r="A9" t="s">
        <v>45</v>
      </c>
      <c r="B9" s="18">
        <f>B8*(1-Assumptions!B8)</f>
        <v>1811458240.1625724</v>
      </c>
      <c r="C9" s="18">
        <f>C8*(1-Assumptions!B8)</f>
        <v>1828314145.4803731</v>
      </c>
      <c r="D9" s="18">
        <f>D8*(1-Assumptions!B8)</f>
        <v>1845326897.662089</v>
      </c>
      <c r="E9" s="18">
        <f>E8*(1-Assumptions!B8)</f>
        <v>1862497956.1925862</v>
      </c>
      <c r="F9" s="18">
        <f>F8*(1-Assumptions!B8)</f>
        <v>1879828794.137469</v>
      </c>
    </row>
    <row r="10" spans="1:6" x14ac:dyDescent="0.25">
      <c r="A10" t="s">
        <v>46</v>
      </c>
      <c r="B10" s="18">
        <f>B6*Assumptions!B9</f>
        <v>520849067.01940095</v>
      </c>
      <c r="C10" s="18">
        <f>C6*Assumptions!B9</f>
        <v>525695649.9346968</v>
      </c>
      <c r="D10" s="18">
        <f>D6*Assumptions!B9</f>
        <v>530587331.07026845</v>
      </c>
      <c r="E10" s="18">
        <f>E6*Assumptions!B9</f>
        <v>535524530.07218546</v>
      </c>
      <c r="F10" s="18">
        <f>F6*Assumptions!B9</f>
        <v>540507670.4913907</v>
      </c>
    </row>
    <row r="11" spans="1:6" x14ac:dyDescent="0.25">
      <c r="A11" t="s">
        <v>47</v>
      </c>
      <c r="B11" s="18">
        <f>-B6*Assumptions!B10</f>
        <v>-520849067.01940095</v>
      </c>
      <c r="C11" s="18">
        <f>-C6*Assumptions!B10</f>
        <v>-525695649.9346968</v>
      </c>
      <c r="D11" s="18">
        <f>-D6*Assumptions!B10</f>
        <v>-530587331.07026845</v>
      </c>
      <c r="E11" s="18">
        <f>-E6*Assumptions!B10</f>
        <v>-535524530.07218546</v>
      </c>
      <c r="F11" s="18">
        <f>-F6*Assumptions!B10</f>
        <v>-540507670.4913907</v>
      </c>
    </row>
    <row r="12" spans="1:6" x14ac:dyDescent="0.25">
      <c r="A12" t="s">
        <v>48</v>
      </c>
      <c r="B12" s="18">
        <f>-(B6-Assumptions!B29)*Assumptions!B11</f>
        <v>76739638.85771275</v>
      </c>
      <c r="C12" s="18">
        <f>-(C6-B6)*Assumptions!B11</f>
        <v>77453713.32988548</v>
      </c>
      <c r="D12" s="18">
        <f>-(D6-C6)*Assumptions!B11</f>
        <v>78174432.37791824</v>
      </c>
      <c r="E12" s="18">
        <f>-(E6-D6)*Assumptions!B11</f>
        <v>78901857.83063889</v>
      </c>
      <c r="F12" s="18">
        <f>-(F6-E6)*Assumptions!B11</f>
        <v>79636052.0922041</v>
      </c>
    </row>
    <row r="13" spans="1:6" x14ac:dyDescent="0.25">
      <c r="A13" s="19" t="s">
        <v>49</v>
      </c>
      <c r="B13" s="20">
        <f>B9+B10+B11+B12</f>
        <v>1888197879.0202851</v>
      </c>
      <c r="C13" s="20">
        <f>C9+C10+C11+C12</f>
        <v>1905767858.8102589</v>
      </c>
      <c r="D13" s="20">
        <f>D9+D10+D11+D12</f>
        <v>1923501330.0400074</v>
      </c>
      <c r="E13" s="20">
        <f>E9+E10+E11+E12</f>
        <v>1941399814.0232248</v>
      </c>
      <c r="F13" s="20">
        <f>F9+F10+F11+F12</f>
        <v>1959464846.229673</v>
      </c>
    </row>
    <row r="14" spans="1:6" x14ac:dyDescent="0.25">
      <c r="A14" t="s">
        <v>50</v>
      </c>
      <c r="B14" s="21">
        <f>1/(1+Assumptions!$B$26)^(1-0.5*Assumptions!$B$32)</f>
        <v>0.9575130629342778</v>
      </c>
      <c r="C14" s="21">
        <f>1/(1+Assumptions!$B$26)^(2-0.5*Assumptions!$B$32)</f>
        <v>0.8778779134045345</v>
      </c>
      <c r="D14" s="21">
        <f>1/(1+Assumptions!$B$26)^(3-0.5*Assumptions!$B$32)</f>
        <v>0.8048659184677847</v>
      </c>
      <c r="E14" s="21">
        <f>1/(1+Assumptions!$B$26)^(4-0.5*Assumptions!$B$32)</f>
        <v>0.7379262387393883</v>
      </c>
      <c r="F14" s="21">
        <f>1/(1+Assumptions!$B$26)^(5-0.5*Assumptions!$B$32)</f>
        <v>0.676553847449134</v>
      </c>
    </row>
    <row r="15" spans="1:6" x14ac:dyDescent="0.25">
      <c r="A15" s="19" t="s">
        <v>51</v>
      </c>
      <c r="B15" s="20">
        <f>B13*B14</f>
        <v>1807974134.5667202</v>
      </c>
      <c r="C15" s="20">
        <f>C13*C14</f>
        <v>1673031511.3257775</v>
      </c>
      <c r="D15" s="20">
        <f>D13*D14</f>
        <v>1548160664.676656</v>
      </c>
      <c r="E15" s="20">
        <f>E13*E14</f>
        <v>1432609862.6515064</v>
      </c>
      <c r="F15" s="20">
        <f>F13*F14</f>
        <v>1325683480.658011</v>
      </c>
    </row>
    <row r="17" spans="1:2" x14ac:dyDescent="0.25">
      <c r="A17" s="22" t="s">
        <v>52</v>
      </c>
      <c r="B17" s="23">
        <f>SUM(B15:F15)</f>
        <v>7787459653.878672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1959464846.229673</v>
      </c>
    </row>
    <row r="5" spans="1:2" x14ac:dyDescent="0.25">
      <c r="A5" t="s">
        <v>56</v>
      </c>
      <c r="B5" s="18">
        <f>IF(Assumptions!$B$33=0,B4,B4-Forecast!F11-Forecast!F10-Forecast!F12)</f>
        <v>1879828794.137469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0.2755937292101934</v>
      </c>
    </row>
    <row r="7" spans="1:2" x14ac:dyDescent="0.25">
      <c r="A7" t="s">
        <v>58</v>
      </c>
      <c r="B7" s="18">
        <f>-MAX(Forecast!F9,0)*B6</f>
        <v>-518069027.6530461</v>
      </c>
    </row>
    <row r="8" spans="1:2" x14ac:dyDescent="0.25">
      <c r="A8" t="s">
        <v>59</v>
      </c>
      <c r="B8" s="18">
        <f>IF(OR(Assumptions!$B$33=0,Assumptions!B12&lt;=0),B5,MAX(B5+B7,0))</f>
        <v>1361759766.484423</v>
      </c>
    </row>
    <row r="9" spans="1:2" x14ac:dyDescent="0.25">
      <c r="A9" t="s">
        <v>60</v>
      </c>
      <c r="B9" s="18">
        <f>B8*(1+Assumptions!B12)/(Assumptions!B26-Assumptions!B12)</f>
        <v>21240830133.774887</v>
      </c>
    </row>
    <row r="10" spans="1:2" x14ac:dyDescent="0.25">
      <c r="A10" t="s">
        <v>61</v>
      </c>
      <c r="B10" s="18">
        <f>B9/(1+Assumptions!B26)^(5-0.5*Assumptions!B32)</f>
        <v>14370565350.018904</v>
      </c>
    </row>
    <row r="11" spans="1:2" x14ac:dyDescent="0.25">
      <c r="A11" t="s">
        <v>62</v>
      </c>
      <c r="B11" s="18">
        <f>Forecast!B17+B10</f>
        <v>22158025003.897575</v>
      </c>
    </row>
    <row r="12" spans="1:2" x14ac:dyDescent="0.25">
      <c r="A12" t="s">
        <v>63</v>
      </c>
      <c r="B12" s="18">
        <f>-Assumptions!B30</f>
        <v>2406000000</v>
      </c>
    </row>
    <row r="13" spans="1:2" x14ac:dyDescent="0.25">
      <c r="A13" t="s">
        <v>64</v>
      </c>
      <c r="B13" s="18">
        <f>B11+B12</f>
        <v>24564025003.897575</v>
      </c>
    </row>
    <row r="14" spans="1:2" x14ac:dyDescent="0.25">
      <c r="A14" s="19" t="s">
        <v>65</v>
      </c>
      <c r="B14" s="24">
        <f>B13/Assumptions!B31</f>
        <v>56.22464213803056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2920037789.652744</v>
      </c>
    </row>
    <row r="18" spans="1:2" x14ac:dyDescent="0.25">
      <c r="A18" t="s">
        <v>60</v>
      </c>
      <c r="B18" s="18">
        <f>B17*Assumptions!B13</f>
        <v>26879430794.28716</v>
      </c>
    </row>
    <row r="19" spans="1:2" x14ac:dyDescent="0.25">
      <c r="A19" t="s">
        <v>61</v>
      </c>
      <c r="B19" s="18">
        <f>B18/(1+Assumptions!B26)^(5-0.5*Assumptions!B32)</f>
        <v>18185382321.11771</v>
      </c>
    </row>
    <row r="20" spans="1:2" x14ac:dyDescent="0.25">
      <c r="A20" t="s">
        <v>62</v>
      </c>
      <c r="B20" s="18">
        <f>Forecast!B17+B19</f>
        <v>25972841974.996384</v>
      </c>
    </row>
    <row r="21" spans="1:2" x14ac:dyDescent="0.25">
      <c r="A21" t="s">
        <v>63</v>
      </c>
      <c r="B21" s="18">
        <f>-Assumptions!B30</f>
        <v>2406000000</v>
      </c>
    </row>
    <row r="22" spans="1:2" x14ac:dyDescent="0.25">
      <c r="A22" t="s">
        <v>64</v>
      </c>
      <c r="B22" s="18">
        <f>B20+B21</f>
        <v>28378841974.996384</v>
      </c>
    </row>
    <row r="23" spans="1:2" x14ac:dyDescent="0.25">
      <c r="A23" s="19" t="s">
        <v>65</v>
      </c>
      <c r="B23" s="25">
        <f>B22/Assumptions!B31</f>
        <v>64.95638373933913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67.04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56.22464213803056</v>
      </c>
    </row>
    <row r="29" spans="1:2" x14ac:dyDescent="0.25">
      <c r="A29" s="19" t="s">
        <v>73</v>
      </c>
      <c r="B29" s="12">
        <f>B28/B26-1</f>
        <v>-0.16132693708188317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0.070713</v>
      </c>
      <c r="B5" s="31">
        <v>69.54219805430024</v>
      </c>
      <c r="C5" s="31">
        <v>69.76590906914042</v>
      </c>
      <c r="D5" s="31">
        <v>69.98962008398061</v>
      </c>
      <c r="E5" s="31">
        <v>70.2133310988208</v>
      </c>
      <c r="F5" s="31">
        <v>70.43704211366098</v>
      </c>
    </row>
    <row r="6" spans="1:6" x14ac:dyDescent="0.25">
      <c r="A6" s="30">
        <v>0.080713</v>
      </c>
      <c r="B6" s="31">
        <v>61.87934395595977</v>
      </c>
      <c r="C6" s="31">
        <v>62.06730822092797</v>
      </c>
      <c r="D6" s="31">
        <v>62.255272485896164</v>
      </c>
      <c r="E6" s="31">
        <v>62.443236750864344</v>
      </c>
      <c r="F6" s="31">
        <v>62.63120101583254</v>
      </c>
    </row>
    <row r="7" spans="1:6" x14ac:dyDescent="0.25">
      <c r="A7" s="30">
        <v>0.090713</v>
      </c>
      <c r="B7" s="31">
        <v>55.90386407278573</v>
      </c>
      <c r="C7" s="31">
        <v>56.06431740424087</v>
      </c>
      <c r="D7" s="32">
        <v>56.224770735696005</v>
      </c>
      <c r="E7" s="31">
        <v>56.38522406715114</v>
      </c>
      <c r="F7" s="31">
        <v>56.54567739860628</v>
      </c>
    </row>
    <row r="8" spans="1:6" x14ac:dyDescent="0.25">
      <c r="A8" s="30">
        <v>0.100713</v>
      </c>
      <c r="B8" s="31">
        <v>51.11320929214222</v>
      </c>
      <c r="C8" s="31">
        <v>51.2519156944545</v>
      </c>
      <c r="D8" s="31">
        <v>51.39062209676676</v>
      </c>
      <c r="E8" s="31">
        <v>51.529328499079035</v>
      </c>
      <c r="F8" s="31">
        <v>51.66803490139131</v>
      </c>
    </row>
    <row r="9" spans="1:6" x14ac:dyDescent="0.25">
      <c r="A9" s="30">
        <v>0.110713</v>
      </c>
      <c r="B9" s="31">
        <v>47.18639403410173</v>
      </c>
      <c r="C9" s="31">
        <v>47.30753987384163</v>
      </c>
      <c r="D9" s="31">
        <v>47.42868571358152</v>
      </c>
      <c r="E9" s="31">
        <v>47.54983155332141</v>
      </c>
      <c r="F9" s="31">
        <v>47.67097739306131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8247000000</v>
      </c>
      <c r="C5" s="18">
        <v>7809000000</v>
      </c>
      <c r="D5" s="18">
        <v>8224000000</v>
      </c>
      <c r="E5" s="18">
        <v>8021000000</v>
      </c>
      <c r="F5" s="8" t="s">
        <v>84</v>
      </c>
    </row>
    <row r="6" spans="1:6" x14ac:dyDescent="0.25">
      <c r="A6" t="s">
        <v>44</v>
      </c>
      <c r="B6" s="18">
        <v>2328000000</v>
      </c>
      <c r="C6" s="18">
        <v>1888000000</v>
      </c>
      <c r="D6" s="18">
        <v>2030000000</v>
      </c>
      <c r="E6" s="18">
        <v>2655000000</v>
      </c>
      <c r="F6" s="8" t="s">
        <v>85</v>
      </c>
    </row>
    <row r="7" spans="1:6" x14ac:dyDescent="0.25">
      <c r="A7" t="s">
        <v>86</v>
      </c>
      <c r="B7" s="18">
        <v>478000000</v>
      </c>
      <c r="C7" s="18">
        <v>498000000</v>
      </c>
      <c r="D7" s="18">
        <v>478000000</v>
      </c>
      <c r="E7" s="18">
        <v>565000000</v>
      </c>
      <c r="F7" s="8" t="s">
        <v>87</v>
      </c>
    </row>
    <row r="8" spans="1:6" x14ac:dyDescent="0.25">
      <c r="A8" t="s">
        <v>88</v>
      </c>
      <c r="B8" s="18">
        <v>174000000</v>
      </c>
      <c r="C8" s="18">
        <v>122000000</v>
      </c>
      <c r="D8" s="18">
        <v>172000000</v>
      </c>
      <c r="E8" s="18">
        <v>126000000</v>
      </c>
      <c r="F8" s="8" t="s">
        <v>89</v>
      </c>
    </row>
    <row r="9" spans="1:6" x14ac:dyDescent="0.25">
      <c r="A9" t="s">
        <v>90</v>
      </c>
      <c r="B9" s="18">
        <v>306000000</v>
      </c>
      <c r="C9" s="18">
        <v>571000000</v>
      </c>
      <c r="D9" s="18">
        <v>-273000000</v>
      </c>
      <c r="E9" s="18">
        <v>858000000</v>
      </c>
      <c r="F9" s="8" t="s">
        <v>91</v>
      </c>
    </row>
    <row r="10" spans="1:6" x14ac:dyDescent="0.25">
      <c r="A10" t="s">
        <v>92</v>
      </c>
      <c r="B10" s="18">
        <v>11282000000</v>
      </c>
      <c r="C10" s="18">
        <v>12401000000</v>
      </c>
      <c r="D10" s="18">
        <v>13972000000</v>
      </c>
      <c r="E10" s="18">
        <v>15890000000</v>
      </c>
      <c r="F10" s="8" t="s">
        <v>93</v>
      </c>
    </row>
    <row r="11" spans="1:6" x14ac:dyDescent="0.25">
      <c r="A11" t="s">
        <v>94</v>
      </c>
      <c r="B11" s="18">
        <v>13688000000</v>
      </c>
      <c r="C11" s="18">
        <v>11236000000</v>
      </c>
      <c r="D11" s="18">
        <v>12033000000</v>
      </c>
      <c r="E11" s="18">
        <v>10850000000</v>
      </c>
      <c r="F11" s="8" t="s">
        <v>95</v>
      </c>
    </row>
    <row r="12" spans="1:6" x14ac:dyDescent="0.25">
      <c r="A12" t="s">
        <v>32</v>
      </c>
      <c r="B12" s="34">
        <v>436890731</v>
      </c>
      <c r="C12" s="34">
        <v>453510245</v>
      </c>
      <c r="D12" s="34">
        <v>476693148</v>
      </c>
      <c r="E12" s="34">
        <v>477803142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2026-09-19T01:03:58Z</dcterms:modified>
</cp:coreProperties>
</file>