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<sst xmlns="http://schemas.openxmlformats.org/spreadsheetml/2006/main" count="113" uniqueCount="101">
  <si>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Compagnie Financière Richemont SA (CFR.SW)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</si>
  <si>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</si>
  <si>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</si>
  <si>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</si>
  <si>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</si>
  <si>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</si>
  <si>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</si>
  <si>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</si>
  <si>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</si>
  <si>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</si>
  <si>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</si>
  <si>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</si>
  <si>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</si>
  <si>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</si>
  <si>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</si>
  <si>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</si>
  <si>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</si>
  <si>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</si>
  <si>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</si>
  <si>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</si>
  <si>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</si>
  <si>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</si>
  <si>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</si>
  <si>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</si>
  <si>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</si>
  <si>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</si>
  <si>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</si>
  <si>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</si>
  <si>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</si>
  <si>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</si>
  <si>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2026-03-31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</si>
  <si>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</si>
  <si>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</si>
  <si>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</si>
  <si>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</si>
  <si>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</si>
  <si>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</si>
  <si>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</si>
  <si>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</si>
  <si>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</si>
  <si>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</si>
  <si>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</si>
  <si>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</si>
  <si>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</si>
  <si>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</si>
  <si>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</si>
  <si>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</si>
  <si>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</si>
  <si>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</si>
  <si>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</si>
  <si>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</si>
  <si>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</si>
  <si>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</si>
  <si>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</si>
  <si>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</si>
  <si>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</si>
  <si>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</si>
  <si>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</si>
  <si>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</si>
  <si>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</si>
  <si>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</si>
  <si>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</si>
  <si>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</si>
  <si>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</si>
  <si>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</si>
  <si>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</si>
  <si>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</si>
  <si>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</si>
  <si>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</si>
  <si>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</si>
  <si>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EUR to CHF</t>
  </si>
  <si>
    <t>EUR/CHF at 0.9436</t>
  </si>
  <si>
    <t>Value per share (CHF)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</si>
  <si>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</si>
  <si>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</si>
  <si>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</si>
  <si>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</si>
  <si>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</si>
  <si>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</si>
  <si>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</si>
  <si>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</si>
  <si>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</si>
  <si>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</si>
  <si>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</si>
  <si>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</si>
  <si>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</si>
  <si>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</si>
  <si>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</si>
  <si>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</si>
  <si>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</si>
  <si>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</si>
  <si>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</si>
  <si>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</si>
  <si>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</si>
  <si>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</si>
  <si>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</si>
  <si>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</si>
  <si>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</si>
  <si>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EUR, trades in CHF. Modelled in EUR, converted at the end.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</si>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</sst>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0.039622815422160285</v>
      </c>
    </row>
    <row r="7" spans="1:2" x14ac:dyDescent="0.25">
      <c r="A7" t="s">
        <v>5</v>
      </c>
      <c r="B7" s="6">
        <v>0.22519146087895595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0.07198774531129466</v>
      </c>
    </row>
    <row r="10" spans="1:2" x14ac:dyDescent="0.25">
      <c r="A10" t="s">
        <v>8</v>
      </c>
      <c r="B10" s="6">
        <v>0.05053864318244905</v>
      </c>
    </row>
    <row r="11" spans="1:2" x14ac:dyDescent="0.25">
      <c r="A11" t="s">
        <v>9</v>
      </c>
      <c r="B11" s="6">
        <v>0.8850574712643678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15.303286324151186</v>
      </c>
    </row>
    <row r="14" spans="1:3" x14ac:dyDescent="0.25">
      <c r="A14" t="s">
        <v>12</v>
      </c>
      <c r="B14" s="6">
        <v>0.12478225064208276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1.04824</v>
      </c>
      <c r="C19" s="8" t="s">
        <v>19</v>
      </c>
    </row>
    <row r="20" spans="1:2" x14ac:dyDescent="0.25">
      <c r="A20" t="s">
        <v>20</v>
      </c>
      <c r="B20" s="10">
        <f>B17+B19*B18</f>
        <v>0.0626532</v>
      </c>
    </row>
    <row r="21" spans="1:3" x14ac:dyDescent="0.25">
      <c r="A21" t="s">
        <v>21</v>
      </c>
      <c r="B21" s="6">
        <v>0.022879003825669493</v>
      </c>
      <c r="C21" s="8" t="s">
        <v>22</v>
      </c>
    </row>
    <row r="22" spans="1:2" x14ac:dyDescent="0.25">
      <c r="A22" t="s">
        <v>23</v>
      </c>
      <c r="B22" s="11">
        <v>99273719808</v>
      </c>
    </row>
    <row r="23" spans="1:2" x14ac:dyDescent="0.25">
      <c r="A23" t="s">
        <v>24</v>
      </c>
      <c r="B23" s="11">
        <v>13515000000</v>
      </c>
    </row>
    <row r="24" spans="1:2" x14ac:dyDescent="0.25">
      <c r="A24" t="s">
        <v>25</v>
      </c>
      <c r="B24" s="10">
        <f>B22/(B22+B23)</f>
        <v>0.8801741874275499</v>
      </c>
    </row>
    <row r="25" spans="1:2" x14ac:dyDescent="0.25">
      <c r="A25" t="s">
        <v>26</v>
      </c>
      <c r="B25" s="10">
        <f>1-B24</f>
        <v>0.11982581257245006</v>
      </c>
    </row>
    <row r="26" spans="1:2" x14ac:dyDescent="0.25">
      <c r="A26" t="s">
        <v>27</v>
      </c>
      <c r="B26" s="12">
        <f>B24*B20+B25*B21*(1-B8)</f>
        <v>0.05747600034035596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22420000000</v>
      </c>
      <c r="C29" s="8" t="s">
        <v>30</v>
      </c>
    </row>
    <row r="30" spans="1:2" x14ac:dyDescent="0.25">
      <c r="A30" t="s">
        <v>31</v>
      </c>
      <c r="B30" s="11">
        <v>-3720000000</v>
      </c>
    </row>
    <row r="31" spans="1:2" x14ac:dyDescent="0.25">
      <c r="A31" t="s">
        <v>32</v>
      </c>
      <c r="B31" s="13">
        <v>589600000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0.039622815422160285</v>
      </c>
      <c r="C5" s="10">
        <f>Assumptions!B6</f>
        <v>0.039622815422160285</v>
      </c>
      <c r="D5" s="10">
        <f>Assumptions!B6</f>
        <v>0.039622815422160285</v>
      </c>
      <c r="E5" s="10">
        <f>Assumptions!B6</f>
        <v>0.039622815422160285</v>
      </c>
      <c r="F5" s="10">
        <f>Assumptions!B6</f>
        <v>0.039622815422160285</v>
      </c>
    </row>
    <row r="6" spans="1:6" x14ac:dyDescent="0.25">
      <c r="A6" t="s">
        <v>43</v>
      </c>
      <c r="B6" s="18">
        <f>Assumptions!B29*(1+B5)</f>
        <v>23308343521.764835</v>
      </c>
      <c r="C6" s="18">
        <f>B6*(1+C5)</f>
        <v>24231885714.92403</v>
      </c>
      <c r="D6" s="18">
        <f>C6*(1+D5)</f>
        <v>25192021249.937347</v>
      </c>
      <c r="E6" s="18">
        <f>D6*(1+E5)</f>
        <v>26190200058.034756</v>
      </c>
      <c r="F6" s="18">
        <f>E6*(1+F5)</f>
        <v>27227929520.80372</v>
      </c>
    </row>
    <row r="7" spans="1:6" x14ac:dyDescent="0.25">
      <c r="A7" t="s">
        <v>5</v>
      </c>
      <c r="B7" s="10">
        <f>Assumptions!B7</f>
        <v>0.22519146087895595</v>
      </c>
      <c r="C7" s="10">
        <f>Assumptions!B7</f>
        <v>0.22519146087895595</v>
      </c>
      <c r="D7" s="10">
        <f>Assumptions!B7</f>
        <v>0.22519146087895595</v>
      </c>
      <c r="E7" s="10">
        <f>Assumptions!B7</f>
        <v>0.22519146087895595</v>
      </c>
      <c r="F7" s="10">
        <f>Assumptions!B7</f>
        <v>0.22519146087895595</v>
      </c>
    </row>
    <row r="8" spans="1:6" x14ac:dyDescent="0.25">
      <c r="A8" t="s">
        <v>44</v>
      </c>
      <c r="B8" s="18">
        <f>B6*B7</f>
        <v>5248839928.334772</v>
      </c>
      <c r="C8" s="18">
        <f>C6*C7</f>
        <v>5456813743.995646</v>
      </c>
      <c r="D8" s="18">
        <f>D6*D7</f>
        <v>5673028067.767093</v>
      </c>
      <c r="E8" s="18">
        <f>E6*E7</f>
        <v>5897809411.780964</v>
      </c>
      <c r="F8" s="18">
        <f>F6*F7</f>
        <v>6131497225.499041</v>
      </c>
    </row>
    <row r="9" spans="1:6" x14ac:dyDescent="0.25">
      <c r="A9" t="s">
        <v>45</v>
      </c>
      <c r="B9" s="18">
        <f>B8*(1-Assumptions!B8)</f>
        <v>4461513939.084557</v>
      </c>
      <c r="C9" s="18">
        <f>C8*(1-Assumptions!B8)</f>
        <v>4638291682.396299</v>
      </c>
      <c r="D9" s="18">
        <f>D8*(1-Assumptions!B8)</f>
        <v>4822073857.602029</v>
      </c>
      <c r="E9" s="18">
        <f>E8*(1-Assumptions!B8)</f>
        <v>5013138000.013819</v>
      </c>
      <c r="F9" s="18">
        <f>F8*(1-Assumptions!B8)</f>
        <v>5211772641.674185</v>
      </c>
    </row>
    <row r="10" spans="1:6" x14ac:dyDescent="0.25">
      <c r="A10" t="s">
        <v>46</v>
      </c>
      <c r="B10" s="18">
        <f>B6*Assumptions!B9</f>
        <v>1677915097.0729718</v>
      </c>
      <c r="C10" s="18">
        <f>C6*Assumptions!B9</f>
        <v>1744398817.2583504</v>
      </c>
      <c r="D10" s="18">
        <f>D6*Assumptions!B9</f>
        <v>1813516809.6172128</v>
      </c>
      <c r="E10" s="18">
        <f>E6*Assumptions!B9</f>
        <v>1885373451.4296608</v>
      </c>
      <c r="F10" s="18">
        <f>F6*Assumptions!B9</f>
        <v>1960077255.6974995</v>
      </c>
    </row>
    <row r="11" spans="1:6" x14ac:dyDescent="0.25">
      <c r="A11" t="s">
        <v>47</v>
      </c>
      <c r="B11" s="18">
        <f>-B6*Assumptions!B10</f>
        <v>-1177972056.420421</v>
      </c>
      <c r="C11" s="18">
        <f>-C6*Assumptions!B10</f>
        <v>-1224646625.7844298</v>
      </c>
      <c r="D11" s="18">
        <f>-D6*Assumptions!B10</f>
        <v>-1273170572.9952576</v>
      </c>
      <c r="E11" s="18">
        <f>-E6*Assumptions!B10</f>
        <v>-1323617175.6099749</v>
      </c>
      <c r="F11" s="18">
        <f>-F6*Assumptions!B10</f>
        <v>-1376062614.64877</v>
      </c>
    </row>
    <row r="12" spans="1:6" x14ac:dyDescent="0.25">
      <c r="A12" t="s">
        <v>48</v>
      </c>
      <c r="B12" s="18">
        <f>-(B6-Assumptions!B29)*Assumptions!B11</f>
        <v>-786235070.9872681</v>
      </c>
      <c r="C12" s="18">
        <f>-(C6-B6)*Assumptions!B11</f>
        <v>-817387918.0834254</v>
      </c>
      <c r="D12" s="18">
        <f>-(D6-C6)*Assumptions!B11</f>
        <v>-849775128.6899474</v>
      </c>
      <c r="E12" s="18">
        <f>-(E6-D6)*Assumptions!B11</f>
        <v>-883445611.764373</v>
      </c>
      <c r="F12" s="18">
        <f>-(F6-E6)*Assumptions!B11</f>
        <v>-918450214.1748292</v>
      </c>
    </row>
    <row r="13" spans="1:6" x14ac:dyDescent="0.25">
      <c r="A13" s="19" t="s">
        <v>49</v>
      </c>
      <c r="B13" s="20">
        <f>B9+B10+B11+B12</f>
        <v>4175221908.7498393</v>
      </c>
      <c r="C13" s="20">
        <f>C9+C10+C11+C12</f>
        <v>4340655955.786795</v>
      </c>
      <c r="D13" s="20">
        <f>D9+D10+D11+D12</f>
        <v>4512644965.534038</v>
      </c>
      <c r="E13" s="20">
        <f>E9+E10+E11+E12</f>
        <v>4691448664.069132</v>
      </c>
      <c r="F13" s="20">
        <f>F9+F10+F11+F12</f>
        <v>4877337068.548084</v>
      </c>
    </row>
    <row r="14" spans="1:6" x14ac:dyDescent="0.25">
      <c r="A14" t="s">
        <v>50</v>
      </c>
      <c r="B14" s="21">
        <f>1/(1+Assumptions!$B$26)^(1-0.5*Assumptions!$B$32)</f>
        <v>0.9724443113878132</v>
      </c>
      <c r="C14" s="21">
        <f>1/(1+Assumptions!$B$26)^(2-0.5*Assumptions!$B$32)</f>
        <v>0.9195899586135526</v>
      </c>
      <c r="D14" s="21">
        <f>1/(1+Assumptions!$B$26)^(3-0.5*Assumptions!$B$32)</f>
        <v>0.8696083488585805</v>
      </c>
      <c r="E14" s="21">
        <f>1/(1+Assumptions!$B$26)^(4-0.5*Assumptions!$B$32)</f>
        <v>0.8223433426183581</v>
      </c>
      <c r="F14" s="21">
        <f>1/(1+Assumptions!$B$26)^(5-0.5*Assumptions!$B$32)</f>
        <v>0.7776472868922616</v>
      </c>
    </row>
    <row r="15" spans="1:6" x14ac:dyDescent="0.25">
      <c r="A15" s="19" t="s">
        <v>51</v>
      </c>
      <c r="B15" s="20">
        <f>B13*B14</f>
        <v>4060170793.9455485</v>
      </c>
      <c r="C15" s="20">
        <f>C13*C14</f>
        <v>3991623630.7376494</v>
      </c>
      <c r="D15" s="20">
        <f>D13*D14</f>
        <v>3924233737.4630404</v>
      </c>
      <c r="E15" s="20">
        <f>E13*E14</f>
        <v>3857981576.1330404</v>
      </c>
      <c r="F15" s="20">
        <f>F13*F14</f>
        <v>3792847938.615474</v>
      </c>
    </row>
    <row r="17" spans="1:2" x14ac:dyDescent="0.25">
      <c r="A17" s="22" t="s">
        <v>52</v>
      </c>
      <c r="B17" s="23">
        <f>SUM(B15:F15)</f>
        <v>19626857676.894753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4877337068.548084</v>
      </c>
    </row>
    <row r="5" spans="1:2" x14ac:dyDescent="0.25">
      <c r="A5" t="s">
        <v>56</v>
      </c>
      <c r="B5" s="18">
        <f>IF(Assumptions!$B$33=0,B4,B4-Forecast!F11-Forecast!F10-Forecast!F12)</f>
        <v>5348108070.067548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0.20034900694096602</v>
      </c>
    </row>
    <row r="7" spans="1:2" x14ac:dyDescent="0.25">
      <c r="A7" t="s">
        <v>58</v>
      </c>
      <c r="B7" s="18">
        <f>-MAX(Forecast!F9,0)*B6</f>
        <v>-1071488140.8509996</v>
      </c>
    </row>
    <row r="8" spans="1:2" x14ac:dyDescent="0.25">
      <c r="A8" t="s">
        <v>59</v>
      </c>
      <c r="B8" s="18">
        <f>IF(OR(Assumptions!$B$33=0,Assumptions!B12&lt;=0),B5,MAX(B5+B7,0))</f>
        <v>4276619929.216548</v>
      </c>
    </row>
    <row r="9" spans="1:2" x14ac:dyDescent="0.25">
      <c r="A9" t="s">
        <v>60</v>
      </c>
      <c r="B9" s="18">
        <f>B8*(1+Assumptions!B12)/(Assumptions!B26-Assumptions!B12)</f>
        <v>134977687569.48212</v>
      </c>
    </row>
    <row r="10" spans="1:2" x14ac:dyDescent="0.25">
      <c r="A10" t="s">
        <v>61</v>
      </c>
      <c r="B10" s="18">
        <f>B9/(1+Assumptions!B26)^(5-0.5*Assumptions!B32)</f>
        <v>104965032529.39911</v>
      </c>
    </row>
    <row r="11" spans="1:2" x14ac:dyDescent="0.25">
      <c r="A11" t="s">
        <v>62</v>
      </c>
      <c r="B11" s="18">
        <f>Forecast!B17+B10</f>
        <v>124591890206.29385</v>
      </c>
    </row>
    <row r="12" spans="1:2" x14ac:dyDescent="0.25">
      <c r="A12" t="s">
        <v>63</v>
      </c>
      <c r="B12" s="18">
        <f>-Assumptions!B30</f>
        <v>3720000000</v>
      </c>
    </row>
    <row r="13" spans="1:2" x14ac:dyDescent="0.25">
      <c r="A13" t="s">
        <v>64</v>
      </c>
      <c r="B13" s="18">
        <f>B11+B12</f>
        <v>128311890206.29385</v>
      </c>
    </row>
    <row r="14" spans="1:2" x14ac:dyDescent="0.25">
      <c r="A14" s="19" t="s">
        <v>65</v>
      </c>
      <c r="B14" s="24">
        <f>B13/Assumptions!B31</f>
        <v>217.62532260226232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8091574481.19654</v>
      </c>
    </row>
    <row r="18" spans="1:2" x14ac:dyDescent="0.25">
      <c r="A18" t="s">
        <v>60</v>
      </c>
      <c r="B18" s="18">
        <f>B17*Assumptions!B13</f>
        <v>123827681098.94574</v>
      </c>
    </row>
    <row r="19" spans="1:2" x14ac:dyDescent="0.25">
      <c r="A19" t="s">
        <v>61</v>
      </c>
      <c r="B19" s="18">
        <f>B18/(1+Assumptions!B26)^(5-0.5*Assumptions!B32)</f>
        <v>96294260248.75534</v>
      </c>
    </row>
    <row r="20" spans="1:2" x14ac:dyDescent="0.25">
      <c r="A20" t="s">
        <v>62</v>
      </c>
      <c r="B20" s="18">
        <f>Forecast!B17+B19</f>
        <v>115921117925.65009</v>
      </c>
    </row>
    <row r="21" spans="1:2" x14ac:dyDescent="0.25">
      <c r="A21" t="s">
        <v>63</v>
      </c>
      <c r="B21" s="18">
        <f>-Assumptions!B30</f>
        <v>3720000000</v>
      </c>
    </row>
    <row r="22" spans="1:2" x14ac:dyDescent="0.25">
      <c r="A22" t="s">
        <v>64</v>
      </c>
      <c r="B22" s="18">
        <f>B20+B21</f>
        <v>119641117925.65009</v>
      </c>
    </row>
    <row r="23" spans="1:2" x14ac:dyDescent="0.25">
      <c r="A23" s="19" t="s">
        <v>65</v>
      </c>
      <c r="B23" s="25">
        <f>B22/Assumptions!B31</f>
        <v>202.91912809642145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168.85</v>
      </c>
    </row>
    <row r="27" spans="1:3" x14ac:dyDescent="0.25">
      <c r="A27" t="s">
        <v>70</v>
      </c>
      <c r="B27" s="27">
        <v>0.94359</v>
      </c>
      <c r="C27" s="8" t="s">
        <v>71</v>
      </c>
    </row>
    <row r="28" spans="1:2" x14ac:dyDescent="0.25">
      <c r="A28" t="s">
        <v>72</v>
      </c>
      <c r="B28" s="28">
        <f>B14*B27</f>
        <v>205.3490781542687</v>
      </c>
    </row>
    <row r="29" spans="1:2" x14ac:dyDescent="0.25">
      <c r="A29" s="19" t="s">
        <v>73</v>
      </c>
      <c r="B29" s="12">
        <f>B28/B26-1</f>
        <v>0.21616273706999545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0.037476</v>
      </c>
      <c r="B5" s="31">
        <v>346.61449916589095</v>
      </c>
      <c r="C5" s="31">
        <v>417.9490942855811</v>
      </c>
      <c r="D5" s="31">
        <v>546.2142677248339</v>
      </c>
      <c r="E5" s="31">
        <v>845.6367015052438</v>
      </c>
      <c r="F5" s="31">
        <v>2353.114176368879</v>
      </c>
    </row>
    <row r="6" spans="1:6" x14ac:dyDescent="0.25">
      <c r="A6" s="30">
        <v>0.047476</v>
      </c>
      <c r="B6" s="31">
        <v>242.82109435352697</v>
      </c>
      <c r="C6" s="31">
        <v>269.8864450182766</v>
      </c>
      <c r="D6" s="31">
        <v>308.8624371633244</v>
      </c>
      <c r="E6" s="31">
        <v>369.9722123659462</v>
      </c>
      <c r="F6" s="31">
        <v>479.8274046325229</v>
      </c>
    </row>
    <row r="7" spans="1:6" x14ac:dyDescent="0.25">
      <c r="A7" s="30">
        <v>0.057476</v>
      </c>
      <c r="B7" s="31">
        <v>187.89299562661867</v>
      </c>
      <c r="C7" s="31">
        <v>200.8134457651368</v>
      </c>
      <c r="D7" s="32">
        <v>217.62532475229958</v>
      </c>
      <c r="E7" s="31">
        <v>240.4530842087822</v>
      </c>
      <c r="F7" s="31">
        <v>273.31159364160527</v>
      </c>
    </row>
    <row r="8" spans="1:6" x14ac:dyDescent="0.25">
      <c r="A8" s="30">
        <v>0.067476</v>
      </c>
      <c r="B8" s="31">
        <v>153.894684159827</v>
      </c>
      <c r="C8" s="31">
        <v>160.81793619657967</v>
      </c>
      <c r="D8" s="31">
        <v>169.30732616830545</v>
      </c>
      <c r="E8" s="31">
        <v>179.98971043706536</v>
      </c>
      <c r="F8" s="31">
        <v>193.87798820397742</v>
      </c>
    </row>
    <row r="9" spans="1:6" x14ac:dyDescent="0.25">
      <c r="A9" s="30">
        <v>0.077476</v>
      </c>
      <c r="B9" s="31">
        <v>130.77622231571297</v>
      </c>
      <c r="C9" s="31">
        <v>134.72368422288397</v>
      </c>
      <c r="D9" s="31">
        <v>139.37388070809456</v>
      </c>
      <c r="E9" s="31">
        <v>144.94884013663662</v>
      </c>
      <c r="F9" s="31">
        <v>151.77513384644135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22420000000</v>
      </c>
      <c r="C5" s="18">
        <v>21399000000</v>
      </c>
      <c r="D5" s="18">
        <v>20616000000</v>
      </c>
      <c r="E5" s="18">
        <v>19953000000</v>
      </c>
      <c r="F5" s="8" t="s">
        <v>84</v>
      </c>
    </row>
    <row r="6" spans="1:6" x14ac:dyDescent="0.25">
      <c r="A6" t="s">
        <v>44</v>
      </c>
      <c r="B6" s="18">
        <v>4635000000</v>
      </c>
      <c r="C6" s="18">
        <v>4482000000</v>
      </c>
      <c r="D6" s="18">
        <v>4793000000</v>
      </c>
      <c r="E6" s="18">
        <v>5030000000</v>
      </c>
      <c r="F6" s="8" t="s">
        <v>85</v>
      </c>
    </row>
    <row r="7" spans="1:6" x14ac:dyDescent="0.25">
      <c r="A7" t="s">
        <v>86</v>
      </c>
      <c r="B7" s="18">
        <v>1609000000</v>
      </c>
      <c r="C7" s="18">
        <v>1560000000</v>
      </c>
      <c r="D7" s="18">
        <v>1432000000</v>
      </c>
      <c r="E7" s="18">
        <v>1473000000</v>
      </c>
      <c r="F7" s="8" t="s">
        <v>87</v>
      </c>
    </row>
    <row r="8" spans="1:6" x14ac:dyDescent="0.25">
      <c r="A8" t="s">
        <v>88</v>
      </c>
      <c r="B8" s="18">
        <v>1080000000</v>
      </c>
      <c r="C8" s="18">
        <v>1180000000</v>
      </c>
      <c r="D8" s="18">
        <v>1021000000</v>
      </c>
      <c r="E8" s="18">
        <v>984000000</v>
      </c>
      <c r="F8" s="8" t="s">
        <v>89</v>
      </c>
    </row>
    <row r="9" spans="1:6" x14ac:dyDescent="0.25">
      <c r="A9" t="s">
        <v>90</v>
      </c>
      <c r="B9" s="18">
        <v>514000000</v>
      </c>
      <c r="C9" s="18">
        <v>693000000</v>
      </c>
      <c r="D9" s="18">
        <v>651000000</v>
      </c>
      <c r="E9" s="18">
        <v>1167000000</v>
      </c>
      <c r="F9" s="8" t="s">
        <v>91</v>
      </c>
    </row>
    <row r="10" spans="1:6" x14ac:dyDescent="0.25">
      <c r="A10" t="s">
        <v>92</v>
      </c>
      <c r="B10" s="18">
        <v>13515000000</v>
      </c>
      <c r="C10" s="18">
        <v>13147000000</v>
      </c>
      <c r="D10" s="18">
        <v>16365000000</v>
      </c>
      <c r="E10" s="18">
        <v>15713000000</v>
      </c>
      <c r="F10" s="8" t="s">
        <v>93</v>
      </c>
    </row>
    <row r="11" spans="1:6" x14ac:dyDescent="0.25">
      <c r="A11" t="s">
        <v>94</v>
      </c>
      <c r="B11" s="18">
        <v>17235000000</v>
      </c>
      <c r="C11" s="18">
        <v>16768000000</v>
      </c>
      <c r="D11" s="18">
        <v>19494000000</v>
      </c>
      <c r="E11" s="18">
        <v>18337000000</v>
      </c>
      <c r="F11" s="8" t="s">
        <v>95</v>
      </c>
    </row>
    <row r="12" spans="1:6" x14ac:dyDescent="0.25">
      <c r="A12" t="s">
        <v>32</v>
      </c>
      <c r="B12" s="34">
        <v>589600000</v>
      </c>
      <c r="C12" s="34">
        <v>588900000</v>
      </c>
      <c r="D12" s="34">
        <v>579400000</v>
      </c>
      <c r="E12" s="34">
        <v>576700000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2026-09-19T00:06:22Z</dcterms:modified>
</cp:coreProperties>
</file>