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<sst xmlns="http://schemas.openxmlformats.org/spreadsheetml/2006/main" count="115" uniqueCount="103">
  <si>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Charter Hall Group (CHC.AX)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</si>
  <si>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</si>
  <si>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</si>
  <si>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</si>
  <si>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</si>
  <si>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</si>
  <si>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</si>
  <si>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</si>
  <si>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</si>
  <si>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</si>
  <si>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</si>
  <si>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</si>
  <si>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</si>
  <si>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</si>
  <si>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</si>
  <si>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</si>
  <si>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</si>
  <si>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</si>
  <si>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</si>
  <si>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</si>
  <si>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</si>
  <si>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</si>
  <si>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</si>
  <si>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</si>
  <si>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</si>
  <si>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</si>
  <si>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</si>
  <si>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</si>
  <si>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</si>
  <si>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</si>
  <si>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</si>
  <si>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</si>
  <si>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</si>
  <si>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</si>
  <si>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</si>
  <si>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</si>
  <si>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</si>
  <si>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</si>
  <si>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</si>
  <si>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</si>
  <si>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</si>
  <si>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</si>
  <si>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</si>
  <si>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</si>
  <si>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</si>
  <si>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</si>
  <si>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</si>
  <si>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</si>
  <si>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</si>
  <si>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</si>
  <si>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</si>
  <si>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</si>
  <si>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</si>
  <si>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</si>
  <si>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</si>
  <si>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</si>
  <si>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</si>
  <si>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</si>
  <si>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</si>
  <si>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</si>
  <si>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</si>
  <si>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</si>
  <si>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</si>
  <si>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</si>
  <si>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</si>
  <si>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</si>
  <si>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</si>
  <si>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</si>
  <si>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</si>
  <si>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</si>
  <si>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</si>
  <si>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</si>
  <si>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</si>
  <si>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</si>
  <si>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</si>
  <si>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</si>
  <si>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</si>
  <si>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</si>
  <si>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</si>
  <si>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</si>
  <si>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</si>
  <si>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</si>
  <si>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</si>
  <si>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</si>
  <si>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</si>
  <si>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</si>
  <si>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</si>
  <si>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</si>
  <si>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</si>
  <si>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</si>
  <si>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</si>
  <si>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</si>
  <si>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</si>
  <si>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</si>
  <si>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</si>
  <si>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</si>
  <si>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</si>
  <si>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</si>
  <si>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2.0%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</si>
  <si>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</si>
  <si>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Reported capital expenditure averages just 0.42% of revenue, which is too low to be the company's real investment - property trusts and similar structures invest through lines that are not reported as capex. Capex has been set to 1.84%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</si>
  <si>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52.1x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</si>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</sst>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-0.1700502189662133</v>
      </c>
    </row>
    <row r="7" spans="1:2" x14ac:dyDescent="0.25">
      <c r="A7" t="s">
        <v>5</v>
      </c>
      <c r="B7" s="6">
        <v>0.4371274352748994</v>
      </c>
    </row>
    <row r="8" spans="1:2" x14ac:dyDescent="0.25">
      <c r="A8" t="s">
        <v>6</v>
      </c>
      <c r="B8" s="6">
        <v>0.2195760895451298</v>
      </c>
    </row>
    <row r="9" spans="1:2" x14ac:dyDescent="0.25">
      <c r="A9" t="s">
        <v>7</v>
      </c>
      <c r="B9" s="6">
        <v>0.018449768870690813</v>
      </c>
    </row>
    <row r="10" spans="1:2" x14ac:dyDescent="0.25">
      <c r="A10" t="s">
        <v>8</v>
      </c>
      <c r="B10" s="6">
        <v>0.018449768870690813</v>
      </c>
    </row>
    <row r="11" spans="1:2" x14ac:dyDescent="0.25">
      <c r="A11" t="s">
        <v>9</v>
      </c>
      <c r="B11" s="6">
        <v>0.12426240888580355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0.12173544245013575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1.2465600000000001</v>
      </c>
      <c r="C19" s="8" t="s">
        <v>19</v>
      </c>
    </row>
    <row r="20" spans="1:2" x14ac:dyDescent="0.25">
      <c r="A20" t="s">
        <v>20</v>
      </c>
      <c r="B20" s="10">
        <f>B17+B19*B18</f>
        <v>0.1282736</v>
      </c>
    </row>
    <row r="21" spans="1:3" x14ac:dyDescent="0.25">
      <c r="A21" t="s">
        <v>21</v>
      </c>
      <c r="B21" s="6">
        <v>0.054864486366257514</v>
      </c>
      <c r="C21" s="8" t="s">
        <v>22</v>
      </c>
    </row>
    <row r="22" spans="1:2" x14ac:dyDescent="0.25">
      <c r="A22" t="s">
        <v>23</v>
      </c>
      <c r="B22" s="11">
        <v>8665308160</v>
      </c>
    </row>
    <row r="23" spans="1:2" x14ac:dyDescent="0.25">
      <c r="A23" t="s">
        <v>24</v>
      </c>
      <c r="B23" s="11">
        <v>717900000</v>
      </c>
    </row>
    <row r="24" spans="1:2" x14ac:dyDescent="0.25">
      <c r="A24" t="s">
        <v>25</v>
      </c>
      <c r="B24" s="10">
        <f>B22/(B22+B23)</f>
        <v>0.9234909864772732</v>
      </c>
    </row>
    <row r="25" spans="1:2" x14ac:dyDescent="0.25">
      <c r="A25" t="s">
        <v>26</v>
      </c>
      <c r="B25" s="10">
        <f>1-B24</f>
        <v>0.07650901352272677</v>
      </c>
    </row>
    <row r="26" spans="1:2" x14ac:dyDescent="0.25">
      <c r="A26" t="s">
        <v>27</v>
      </c>
      <c r="B26" s="12">
        <f>B24*B20+B25*B21*(1-B8)</f>
        <v>0.12173544245013575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449000000</v>
      </c>
      <c r="C29" s="8" t="s">
        <v>30</v>
      </c>
    </row>
    <row r="30" spans="1:2" x14ac:dyDescent="0.25">
      <c r="A30" t="s">
        <v>31</v>
      </c>
      <c r="B30" s="11">
        <v>511600000</v>
      </c>
    </row>
    <row r="31" spans="1:2" x14ac:dyDescent="0.25">
      <c r="A31" t="s">
        <v>32</v>
      </c>
      <c r="B31" s="13">
        <v>481869369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-0.1700502189662133</v>
      </c>
      <c r="C5" s="10">
        <f>Assumptions!B6</f>
        <v>-0.1700502189662133</v>
      </c>
      <c r="D5" s="10">
        <f>Assumptions!B6</f>
        <v>-0.1700502189662133</v>
      </c>
      <c r="E5" s="10">
        <f>Assumptions!B6</f>
        <v>-0.1700502189662133</v>
      </c>
      <c r="F5" s="10">
        <f>Assumptions!B6</f>
        <v>-0.1700502189662133</v>
      </c>
    </row>
    <row r="6" spans="1:6" x14ac:dyDescent="0.25">
      <c r="A6" t="s">
        <v>43</v>
      </c>
      <c r="B6" s="18">
        <f>Assumptions!B29*(1+B5)</f>
        <v>372647451.68417025</v>
      </c>
      <c r="C6" s="18">
        <f>B6*(1+C5)</f>
        <v>309278670.92807573</v>
      </c>
      <c r="D6" s="18">
        <f>C6*(1+D5)</f>
        <v>256685765.21517703</v>
      </c>
      <c r="E6" s="18">
        <f>D6*(1+E5)</f>
        <v>213036294.63482615</v>
      </c>
      <c r="F6" s="18">
        <f>E6*(1+F5)</f>
        <v>176809426.08442324</v>
      </c>
    </row>
    <row r="7" spans="1:6" x14ac:dyDescent="0.25">
      <c r="A7" t="s">
        <v>5</v>
      </c>
      <c r="B7" s="10">
        <f>Assumptions!B7</f>
        <v>0.4371274352748994</v>
      </c>
      <c r="C7" s="10">
        <f>Assumptions!B7</f>
        <v>0.4371274352748994</v>
      </c>
      <c r="D7" s="10">
        <f>Assumptions!B7</f>
        <v>0.4371274352748994</v>
      </c>
      <c r="E7" s="10">
        <f>Assumptions!B7</f>
        <v>0.4371274352748994</v>
      </c>
      <c r="F7" s="10">
        <f>Assumptions!B7</f>
        <v>0.4371274352748994</v>
      </c>
    </row>
    <row r="8" spans="1:6" x14ac:dyDescent="0.25">
      <c r="A8" t="s">
        <v>44</v>
      </c>
      <c r="B8" s="18">
        <f>B6*B7</f>
        <v>162894424.81642833</v>
      </c>
      <c r="C8" s="18">
        <f>C6*C7</f>
        <v>135194192.20801935</v>
      </c>
      <c r="D8" s="18">
        <f>D6*D7</f>
        <v>112204390.22008532</v>
      </c>
      <c r="E8" s="18">
        <f>E6*E7</f>
        <v>93124009.09418936</v>
      </c>
      <c r="F8" s="18">
        <f>F6*F7</f>
        <v>77288250.95671083</v>
      </c>
    </row>
    <row r="9" spans="1:6" x14ac:dyDescent="0.25">
      <c r="A9" t="s">
        <v>45</v>
      </c>
      <c r="B9" s="18">
        <f>B8*(1-Assumptions!B8)</f>
        <v>127126704.00653386</v>
      </c>
      <c r="C9" s="18">
        <f>C8*(1-Assumptions!B8)</f>
        <v>105508780.1537698</v>
      </c>
      <c r="D9" s="18">
        <f>D8*(1-Assumptions!B8)</f>
        <v>87566988.98576319</v>
      </c>
      <c r="E9" s="18">
        <f>E8*(1-Assumptions!B8)</f>
        <v>72676203.33452216</v>
      </c>
      <c r="F9" s="18">
        <f>F8*(1-Assumptions!B8)</f>
        <v>60317599.04385363</v>
      </c>
    </row>
    <row r="10" spans="1:6" x14ac:dyDescent="0.25">
      <c r="A10" t="s">
        <v>46</v>
      </c>
      <c r="B10" s="18">
        <f>B6*Assumptions!B9</f>
        <v>6875259.353824863</v>
      </c>
      <c r="C10" s="18">
        <f>C6*Assumptions!B9</f>
        <v>5706119.995257439</v>
      </c>
      <c r="D10" s="18">
        <f>D6*Assumptions!B9</f>
        <v>4735793.040616424</v>
      </c>
      <c r="E10" s="18">
        <f>E6*Assumptions!B9</f>
        <v>3930470.397080932</v>
      </c>
      <c r="F10" s="18">
        <f>F6*Assumptions!B9</f>
        <v>3262093.0454171</v>
      </c>
    </row>
    <row r="11" spans="1:6" x14ac:dyDescent="0.25">
      <c r="A11" t="s">
        <v>47</v>
      </c>
      <c r="B11" s="18">
        <f>-B6*Assumptions!B10</f>
        <v>-6875259.353824863</v>
      </c>
      <c r="C11" s="18">
        <f>-C6*Assumptions!B10</f>
        <v>-5706119.995257439</v>
      </c>
      <c r="D11" s="18">
        <f>-D6*Assumptions!B10</f>
        <v>-4735793.040616424</v>
      </c>
      <c r="E11" s="18">
        <f>-E6*Assumptions!B10</f>
        <v>-3930470.397080932</v>
      </c>
      <c r="F11" s="18">
        <f>-F6*Assumptions!B10</f>
        <v>-3262093.0454171</v>
      </c>
    </row>
    <row r="12" spans="1:6" x14ac:dyDescent="0.25">
      <c r="A12" t="s">
        <v>48</v>
      </c>
      <c r="B12" s="18">
        <f>-(B6-Assumptions!B29)*Assumptions!B11</f>
        <v>9487751.578294707</v>
      </c>
      <c r="C12" s="18">
        <f>-(C6-B6)*Assumptions!B11</f>
        <v>7874357.344908656</v>
      </c>
      <c r="D12" s="18">
        <f>-(D6-C6)*Assumptions!B11</f>
        <v>6535321.154188732</v>
      </c>
      <c r="E12" s="18">
        <f>-(E6-D6)*Assumptions!B11</f>
        <v>5423988.360904413</v>
      </c>
      <c r="F12" s="18">
        <f>-(F6-E6)*Assumptions!B11</f>
        <v>4501637.952462424</v>
      </c>
    </row>
    <row r="13" spans="1:6" x14ac:dyDescent="0.25">
      <c r="A13" s="19" t="s">
        <v>49</v>
      </c>
      <c r="B13" s="20">
        <f>B9+B10+B11+B12</f>
        <v>136614455.58482856</v>
      </c>
      <c r="C13" s="20">
        <f>C9+C10+C11+C12</f>
        <v>113383137.49867846</v>
      </c>
      <c r="D13" s="20">
        <f>D9+D10+D11+D12</f>
        <v>94102310.13995193</v>
      </c>
      <c r="E13" s="20">
        <f>E9+E10+E11+E12</f>
        <v>78100191.69542657</v>
      </c>
      <c r="F13" s="20">
        <f>F9+F10+F11+F12</f>
        <v>64819236.99631606</v>
      </c>
    </row>
    <row r="14" spans="1:6" x14ac:dyDescent="0.25">
      <c r="A14" t="s">
        <v>50</v>
      </c>
      <c r="B14" s="21">
        <f>1/(1+Assumptions!$B$26)^(1-0.5*Assumptions!$B$32)</f>
        <v>0.9441799612129771</v>
      </c>
      <c r="C14" s="21">
        <f>1/(1+Assumptions!$B$26)^(2-0.5*Assumptions!$B$32)</f>
        <v>0.8417135854695512</v>
      </c>
      <c r="D14" s="21">
        <f>1/(1+Assumptions!$B$26)^(3-0.5*Assumptions!$B$32)</f>
        <v>0.7503672912670473</v>
      </c>
      <c r="E14" s="21">
        <f>1/(1+Assumptions!$B$26)^(4-0.5*Assumptions!$B$32)</f>
        <v>0.6689342806429183</v>
      </c>
      <c r="F14" s="21">
        <f>1/(1+Assumptions!$B$26)^(5-0.5*Assumptions!$B$32)</f>
        <v>0.5963387224190826</v>
      </c>
    </row>
    <row r="15" spans="1:6" x14ac:dyDescent="0.25">
      <c r="A15" s="19" t="s">
        <v>51</v>
      </c>
      <c r="B15" s="20">
        <f>B13*B14</f>
        <v>128988631.37521541</v>
      </c>
      <c r="C15" s="20">
        <f>C13*C14</f>
        <v>95436127.19579977</v>
      </c>
      <c r="D15" s="20">
        <f>D13*D14</f>
        <v>70611295.56168732</v>
      </c>
      <c r="E15" s="20">
        <f>E13*E14</f>
        <v>52243895.54985419</v>
      </c>
      <c r="F15" s="20">
        <f>F13*F14</f>
        <v>38654220.978562854</v>
      </c>
    </row>
    <row r="17" spans="1:2" x14ac:dyDescent="0.25">
      <c r="A17" s="22" t="s">
        <v>52</v>
      </c>
      <c r="B17" s="23">
        <f>SUM(B15:F15)</f>
        <v>385934170.66111946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64819236.99631606</v>
      </c>
    </row>
    <row r="5" spans="1:2" x14ac:dyDescent="0.25">
      <c r="A5" t="s">
        <v>56</v>
      </c>
      <c r="B5" s="18">
        <f>IF(Assumptions!$B$33=0,B4,B4-Forecast!F11-Forecast!F10-Forecast!F12)</f>
        <v>60317599.04385363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0.20536336416767279</v>
      </c>
    </row>
    <row r="7" spans="1:2" x14ac:dyDescent="0.25">
      <c r="A7" t="s">
        <v>58</v>
      </c>
      <c r="B7" s="18">
        <f>-MAX(Forecast!F9,0)*B6</f>
        <v>-12387025.058162585</v>
      </c>
    </row>
    <row r="8" spans="1:2" x14ac:dyDescent="0.25">
      <c r="A8" t="s">
        <v>59</v>
      </c>
      <c r="B8" s="18">
        <f>IF(OR(Assumptions!$B$33=0,Assumptions!B12&lt;=0),B5,MAX(B5+B7,0))</f>
        <v>47930573.98569105</v>
      </c>
    </row>
    <row r="9" spans="1:2" x14ac:dyDescent="0.25">
      <c r="A9" t="s">
        <v>60</v>
      </c>
      <c r="B9" s="18">
        <f>B8*(1+Assumptions!B12)/(Assumptions!B26-Assumptions!B12)</f>
        <v>507868027.38466597</v>
      </c>
    </row>
    <row r="10" spans="1:2" x14ac:dyDescent="0.25">
      <c r="A10" t="s">
        <v>61</v>
      </c>
      <c r="B10" s="18">
        <f>B9/(1+Assumptions!B26)^(5-0.5*Assumptions!B32)</f>
        <v>302861370.6080713</v>
      </c>
    </row>
    <row r="11" spans="1:2" x14ac:dyDescent="0.25">
      <c r="A11" t="s">
        <v>62</v>
      </c>
      <c r="B11" s="18">
        <f>Forecast!B17+B10</f>
        <v>688795541.2691908</v>
      </c>
    </row>
    <row r="12" spans="1:2" x14ac:dyDescent="0.25">
      <c r="A12" t="s">
        <v>63</v>
      </c>
      <c r="B12" s="18">
        <f>-Assumptions!B30</f>
        <v>-511600000</v>
      </c>
    </row>
    <row r="13" spans="1:2" x14ac:dyDescent="0.25">
      <c r="A13" t="s">
        <v>64</v>
      </c>
      <c r="B13" s="18">
        <f>B11+B12</f>
        <v>177195541.2691908</v>
      </c>
    </row>
    <row r="14" spans="1:2" x14ac:dyDescent="0.25">
      <c r="A14" s="19" t="s">
        <v>65</v>
      </c>
      <c r="B14" s="24">
        <f>B13/Assumptions!B31</f>
        <v>0.3677252647059016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80550344.00212793</v>
      </c>
    </row>
    <row r="18" spans="1:2" x14ac:dyDescent="0.25">
      <c r="A18" t="s">
        <v>60</v>
      </c>
      <c r="B18" s="18">
        <f>B17*Assumptions!B13</f>
        <v>1611006880.0425587</v>
      </c>
    </row>
    <row r="19" spans="1:2" x14ac:dyDescent="0.25">
      <c r="A19" t="s">
        <v>61</v>
      </c>
      <c r="B19" s="18">
        <f>B18/(1+Assumptions!B26)^(5-0.5*Assumptions!B32)</f>
        <v>960705784.6529317</v>
      </c>
    </row>
    <row r="20" spans="1:2" x14ac:dyDescent="0.25">
      <c r="A20" t="s">
        <v>62</v>
      </c>
      <c r="B20" s="18">
        <f>Forecast!B17+B19</f>
        <v>1346639955.3140512</v>
      </c>
    </row>
    <row r="21" spans="1:2" x14ac:dyDescent="0.25">
      <c r="A21" t="s">
        <v>63</v>
      </c>
      <c r="B21" s="18">
        <f>-Assumptions!B30</f>
        <v>-511600000</v>
      </c>
    </row>
    <row r="22" spans="1:2" x14ac:dyDescent="0.25">
      <c r="A22" t="s">
        <v>64</v>
      </c>
      <c r="B22" s="18">
        <f>B20+B21</f>
        <v>835039955.3140512</v>
      </c>
    </row>
    <row r="23" spans="1:2" x14ac:dyDescent="0.25">
      <c r="A23" s="19" t="s">
        <v>65</v>
      </c>
      <c r="B23" s="25">
        <f>B22/Assumptions!B31</f>
        <v>1.7329176931228663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18.32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0.3677252647059016</v>
      </c>
    </row>
    <row r="29" spans="1:2" x14ac:dyDescent="0.25">
      <c r="A29" s="19" t="s">
        <v>73</v>
      </c>
      <c r="B29" s="12">
        <f>B28/B26-1</f>
        <v>-0.979927660223477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0.101735</v>
      </c>
      <c r="B5" s="31">
        <v>0.5751386048593911</v>
      </c>
      <c r="C5" s="31">
        <v>0.5791166268718859</v>
      </c>
      <c r="D5" s="31">
        <v>0.5830946488843807</v>
      </c>
      <c r="E5" s="31">
        <v>0.5870726708968755</v>
      </c>
      <c r="F5" s="31">
        <v>0.5910506929093704</v>
      </c>
    </row>
    <row r="6" spans="1:6" x14ac:dyDescent="0.25">
      <c r="A6" s="30">
        <v>0.111735</v>
      </c>
      <c r="B6" s="31">
        <v>0.45912892015050233</v>
      </c>
      <c r="C6" s="31">
        <v>0.46260660115761176</v>
      </c>
      <c r="D6" s="31">
        <v>0.46608428216472125</v>
      </c>
      <c r="E6" s="31">
        <v>0.4695619631718307</v>
      </c>
      <c r="F6" s="31">
        <v>0.4730396441789402</v>
      </c>
    </row>
    <row r="7" spans="1:6" x14ac:dyDescent="0.25">
      <c r="A7" s="30">
        <v>0.121735</v>
      </c>
      <c r="B7" s="31">
        <v>0.36159739964459686</v>
      </c>
      <c r="C7" s="31">
        <v>0.3646633354073462</v>
      </c>
      <c r="D7" s="32">
        <v>0.36772927117009524</v>
      </c>
      <c r="E7" s="31">
        <v>0.3707952069328443</v>
      </c>
      <c r="F7" s="31">
        <v>0.3738611426955934</v>
      </c>
    </row>
    <row r="8" spans="1:6" x14ac:dyDescent="0.25">
      <c r="A8" s="30">
        <v>0.131735</v>
      </c>
      <c r="B8" s="31">
        <v>0.27835775929209416</v>
      </c>
      <c r="C8" s="31">
        <v>0.2810800355302901</v>
      </c>
      <c r="D8" s="31">
        <v>0.2838023117684858</v>
      </c>
      <c r="E8" s="31">
        <v>0.28652458800668196</v>
      </c>
      <c r="F8" s="31">
        <v>0.2892468642448776</v>
      </c>
    </row>
    <row r="9" spans="1:6" x14ac:dyDescent="0.25">
      <c r="A9" s="30">
        <v>0.141735</v>
      </c>
      <c r="B9" s="31">
        <v>0.20640409703568502</v>
      </c>
      <c r="C9" s="31">
        <v>0.20883609779521944</v>
      </c>
      <c r="D9" s="31">
        <v>0.21126809855475384</v>
      </c>
      <c r="E9" s="31">
        <v>0.2137000993142885</v>
      </c>
      <c r="F9" s="31">
        <v>0.21613210007382289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449000000</v>
      </c>
      <c r="C5" s="18">
        <v>442200000</v>
      </c>
      <c r="D5" s="18">
        <v>497300000</v>
      </c>
      <c r="E5" s="18">
        <v>785400000</v>
      </c>
      <c r="F5" s="8" t="s">
        <v>84</v>
      </c>
    </row>
    <row r="6" spans="1:6" x14ac:dyDescent="0.25">
      <c r="A6" t="s">
        <v>44</v>
      </c>
      <c r="B6" s="18">
        <v>167400000</v>
      </c>
      <c r="C6" s="18">
        <v>211100000</v>
      </c>
      <c r="D6" s="18">
        <v>221500000</v>
      </c>
      <c r="E6" s="18">
        <v>355700000</v>
      </c>
      <c r="F6" s="8" t="s">
        <v>85</v>
      </c>
    </row>
    <row r="7" spans="1:6" x14ac:dyDescent="0.25">
      <c r="A7" t="s">
        <v>86</v>
      </c>
      <c r="B7" s="18">
        <v>8900000</v>
      </c>
      <c r="C7" s="18">
        <v>8300000</v>
      </c>
      <c r="D7" s="18">
        <v>12000000</v>
      </c>
      <c r="E7" s="18">
        <v>8700000</v>
      </c>
      <c r="F7" s="8" t="s">
        <v>87</v>
      </c>
    </row>
    <row r="8" spans="1:6" x14ac:dyDescent="0.25">
      <c r="A8" t="s">
        <v>88</v>
      </c>
      <c r="B8" s="18">
        <v>2700000</v>
      </c>
      <c r="C8" s="18">
        <v>1200000</v>
      </c>
      <c r="D8" s="18">
        <v>2500000</v>
      </c>
      <c r="E8" s="18">
        <v>2300000</v>
      </c>
      <c r="F8" s="8" t="s">
        <v>89</v>
      </c>
    </row>
    <row r="9" spans="1:6" x14ac:dyDescent="0.25">
      <c r="A9" t="s">
        <v>90</v>
      </c>
      <c r="B9" s="18">
        <v>15000000</v>
      </c>
      <c r="C9" s="18">
        <v>-5200000</v>
      </c>
      <c r="D9" s="18">
        <v>-35800000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717900000</v>
      </c>
      <c r="C10" s="18">
        <v>496000000</v>
      </c>
      <c r="D10" s="18">
        <v>474500000</v>
      </c>
      <c r="E10" s="18">
        <v>474200000</v>
      </c>
      <c r="F10" s="8" t="s">
        <v>93</v>
      </c>
    </row>
    <row r="11" spans="1:6" x14ac:dyDescent="0.25">
      <c r="A11" t="s">
        <v>94</v>
      </c>
      <c r="B11" s="18">
        <v>206300000</v>
      </c>
      <c r="C11" s="18">
        <v>286700000</v>
      </c>
      <c r="D11" s="18">
        <v>382700000</v>
      </c>
      <c r="E11" s="18">
        <v>401400000</v>
      </c>
      <c r="F11" s="8" t="s">
        <v>95</v>
      </c>
    </row>
    <row r="12" spans="1:6" x14ac:dyDescent="0.25">
      <c r="A12" t="s">
        <v>32</v>
      </c>
      <c r="B12" s="34">
        <v>481869369</v>
      </c>
      <c r="C12" s="34">
        <v>472997199</v>
      </c>
      <c r="D12" s="34">
        <v>472997199</v>
      </c>
      <c r="E12" s="34">
        <v>481818182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86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2026-09-19T01:04:53Z</dcterms:modified>
</cp:coreProperties>
</file>