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<sst xmlns="http://schemas.openxmlformats.org/spreadsheetml/2006/main" count="120" uniqueCount="107">
  <si>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Church &amp; Dwight Co., Inc. (CHD)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</si>
  <si>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</si>
  <si>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</si>
  <si>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</si>
  <si>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</si>
  <si>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</si>
  <si>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</si>
  <si>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</si>
  <si>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</si>
  <si>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</si>
  <si>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</si>
  <si>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</si>
  <si>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</si>
  <si>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</si>
  <si>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</si>
  <si>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</si>
  <si>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</si>
  <si>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</si>
  <si>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</si>
  <si>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</si>
  <si>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</si>
  <si>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</si>
  <si>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</si>
  <si>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</si>
  <si>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11.3x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</si>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</sst>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0.0065439498968273835</v>
      </c>
    </row>
    <row r="7" spans="1:2" x14ac:dyDescent="0.25">
      <c r="A7" t="s">
        <v>4</v>
      </c>
      <c r="B7" s="5">
        <v>0.18305272365912023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0.03953793174831725</v>
      </c>
    </row>
    <row r="10" spans="1:3" x14ac:dyDescent="0.25">
      <c r="A10" t="s">
        <v>7</v>
      </c>
      <c r="B10" s="5">
        <v>0.030130720164854324</v>
      </c>
      <c r="C10" s="6" t="s">
        <v>8</v>
      </c>
    </row>
    <row r="11" spans="1:2" x14ac:dyDescent="0.25">
      <c r="A11" t="s">
        <v>9</v>
      </c>
      <c r="B11" s="5">
        <v>0.07905468071194768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0.13527881767502192</v>
      </c>
      <c r="C14" s="6" t="s">
        <v>13</v>
      </c>
    </row>
    <row r="15" spans="1:3" x14ac:dyDescent="0.25">
      <c r="A15" t="s">
        <v>14</v>
      </c>
      <c r="B15" s="5">
        <v>0.013238493422446863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0.65294</v>
      </c>
      <c r="C19" s="6" t="s">
        <v>21</v>
      </c>
    </row>
    <row r="20" spans="1:2" x14ac:dyDescent="0.25">
      <c r="A20" t="s">
        <v>22</v>
      </c>
      <c r="B20" s="9">
        <f>B17+B19*B18</f>
        <v>0.076559362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25309716480</v>
      </c>
    </row>
    <row r="23" spans="1:2" x14ac:dyDescent="0.25">
      <c r="A23" t="s">
        <v>26</v>
      </c>
      <c r="B23" s="10">
        <v>2205100000</v>
      </c>
    </row>
    <row r="24" spans="1:2" x14ac:dyDescent="0.25">
      <c r="A24" t="s">
        <v>27</v>
      </c>
      <c r="B24" s="9">
        <f>B22/(B22+B23)</f>
        <v>0.919857724597115</v>
      </c>
    </row>
    <row r="25" spans="1:2" x14ac:dyDescent="0.25">
      <c r="A25" t="s">
        <v>28</v>
      </c>
      <c r="B25" s="9">
        <f>1-B24</f>
        <v>0.08014227540288499</v>
      </c>
    </row>
    <row r="26" spans="1:2" x14ac:dyDescent="0.25">
      <c r="A26" t="s">
        <v>29</v>
      </c>
      <c r="B26" s="11">
        <f>B24*B20+B25*B21*(1-B8)</f>
        <v>0.07377547885319154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6203200000</v>
      </c>
      <c r="C29" s="6" t="s">
        <v>32</v>
      </c>
    </row>
    <row r="30" spans="1:2" x14ac:dyDescent="0.25">
      <c r="A30" t="s">
        <v>33</v>
      </c>
      <c r="B30" s="10">
        <v>1796100000</v>
      </c>
    </row>
    <row r="31" spans="1:2" x14ac:dyDescent="0.25">
      <c r="A31" t="s">
        <v>34</v>
      </c>
      <c r="B31" s="12">
        <v>244300000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0.0065439498968273835</v>
      </c>
      <c r="C5" s="5">
        <v>0.04273348133491983</v>
      </c>
      <c r="D5" s="5">
        <v>0.040516796168054856</v>
      </c>
      <c r="E5" s="5">
        <v>0.03830011100118987</v>
      </c>
      <c r="F5" s="5">
        <v>0.036083425834324896</v>
      </c>
      <c r="G5" s="5">
        <v>0.03386674066745991</v>
      </c>
      <c r="H5" s="5">
        <v>0.03165005550059494</v>
      </c>
      <c r="I5" s="5">
        <v>0.02943337033372996</v>
      </c>
      <c r="J5" s="5">
        <v>0.02721668516686498</v>
      </c>
      <c r="K5" s="5">
        <v>0.025</v>
      </c>
    </row>
    <row r="6" spans="1:11" x14ac:dyDescent="0.25">
      <c r="A6" t="s">
        <v>50</v>
      </c>
      <c r="B6" s="18">
        <f>Assumptions!B29*(1+B5)</f>
        <v>6243793430</v>
      </c>
      <c r="C6" s="18">
        <f>B6*(1+C5)</f>
        <v>6510612460</v>
      </c>
      <c r="D6" s="18">
        <f>C6*(1+D5)</f>
        <v>6774401617.971018</v>
      </c>
      <c r="E6" s="18">
        <f>D6*(1+E5)</f>
        <v>7033861951.905948</v>
      </c>
      <c r="F6" s="18">
        <f>E6*(1+F5)</f>
        <v>7287667787.976426</v>
      </c>
      <c r="G6" s="18">
        <f>F6*(1+G5)</f>
        <v>7534477343.022426</v>
      </c>
      <c r="H6" s="18">
        <f>G6*(1+H5)</f>
        <v>7772943969.097061</v>
      </c>
      <c r="I6" s="18">
        <f>H6*(1+I5)</f>
        <v>8001727907.522828</v>
      </c>
      <c r="J6" s="18">
        <f>I6*(1+J5)</f>
        <v>8219508416.772794</v>
      </c>
      <c r="K6" s="18">
        <f>J6*(1+K5)</f>
        <v>8424996127.192113</v>
      </c>
    </row>
    <row r="7" spans="1:11" x14ac:dyDescent="0.25">
      <c r="A7" t="s">
        <v>4</v>
      </c>
      <c r="B7" s="9">
        <f>Assumptions!B7</f>
        <v>0.18305272365912023</v>
      </c>
      <c r="C7" s="9">
        <f>Assumptions!B7</f>
        <v>0.18305272365912023</v>
      </c>
      <c r="D7" s="9">
        <f>Assumptions!B7</f>
        <v>0.18305272365912023</v>
      </c>
      <c r="E7" s="9">
        <f>Assumptions!B7</f>
        <v>0.18305272365912023</v>
      </c>
      <c r="F7" s="9">
        <f>Assumptions!B7</f>
        <v>0.18305272365912023</v>
      </c>
      <c r="G7" s="9">
        <f>Assumptions!B7</f>
        <v>0.18305272365912023</v>
      </c>
      <c r="H7" s="9">
        <f>Assumptions!B7</f>
        <v>0.18305272365912023</v>
      </c>
      <c r="I7" s="9">
        <f>Assumptions!B7</f>
        <v>0.18305272365912023</v>
      </c>
      <c r="J7" s="9">
        <f>Assumptions!B7</f>
        <v>0.18305272365912023</v>
      </c>
      <c r="K7" s="9">
        <f>Assumptions!B7</f>
        <v>0.18305272365912023</v>
      </c>
    </row>
    <row r="8" spans="1:11" x14ac:dyDescent="0.25">
      <c r="A8" t="s">
        <v>51</v>
      </c>
      <c r="B8" s="18">
        <f>B6*B7</f>
        <v>1142943393.3264205</v>
      </c>
      <c r="C8" s="18">
        <f>C6*C7</f>
        <v>1191785343.4920049</v>
      </c>
      <c r="D8" s="18">
        <f>D6*D7</f>
        <v>1240072667.3303456</v>
      </c>
      <c r="E8" s="18">
        <f>E6*E7</f>
        <v>1287567588.1386395</v>
      </c>
      <c r="F8" s="18">
        <f>F6*F7</f>
        <v>1334027437.7119207</v>
      </c>
      <c r="G8" s="18">
        <f>G6*G7</f>
        <v>1379206598.9881866</v>
      </c>
      <c r="H8" s="18">
        <f>H6*H7</f>
        <v>1422858564.3929496</v>
      </c>
      <c r="I8" s="18">
        <f>I6*I7</f>
        <v>1464738087.4512465</v>
      </c>
      <c r="J8" s="18">
        <f>J6*J7</f>
        <v>1504603402.829323</v>
      </c>
      <c r="K8" s="18">
        <f>K6*K7</f>
        <v>1542218487.9000561</v>
      </c>
    </row>
    <row r="9" spans="1:11" x14ac:dyDescent="0.25">
      <c r="A9" t="s">
        <v>52</v>
      </c>
      <c r="B9" s="18">
        <f>B8*(1-Assumptions!B8)</f>
        <v>902925280.7278723</v>
      </c>
      <c r="C9" s="18">
        <f>C8*(1-Assumptions!B8)</f>
        <v>941510421.358684</v>
      </c>
      <c r="D9" s="18">
        <f>D8*(1-Assumptions!B8)</f>
        <v>979657407.190973</v>
      </c>
      <c r="E9" s="18">
        <f>E8*(1-Assumptions!B8)</f>
        <v>1017178394.6295252</v>
      </c>
      <c r="F9" s="18">
        <f>F8*(1-Assumptions!B8)</f>
        <v>1053881675.7924174</v>
      </c>
      <c r="G9" s="18">
        <f>G8*(1-Assumptions!B8)</f>
        <v>1089573213.2006674</v>
      </c>
      <c r="H9" s="18">
        <f>H8*(1-Assumptions!B8)</f>
        <v>1124058265.8704302</v>
      </c>
      <c r="I9" s="18">
        <f>I8*(1-Assumptions!B8)</f>
        <v>1157143089.0864847</v>
      </c>
      <c r="J9" s="18">
        <f>J8*(1-Assumptions!B8)</f>
        <v>1188636688.2351654</v>
      </c>
      <c r="K9" s="18">
        <f>K8*(1-Assumptions!B8)</f>
        <v>1218352605.4410443</v>
      </c>
    </row>
    <row r="10" spans="1:11" x14ac:dyDescent="0.25">
      <c r="A10" t="s">
        <v>53</v>
      </c>
      <c r="B10" s="18">
        <f>B6*Assumptions!B9</f>
        <v>246866678.48593163</v>
      </c>
      <c r="C10" s="18">
        <f>C6*Assumptions!B9</f>
        <v>257416151.08322385</v>
      </c>
      <c r="D10" s="18">
        <f>D6*Assumptions!B9</f>
        <v>267845828.80702803</v>
      </c>
      <c r="E10" s="18">
        <f>E6*Assumptions!B9</f>
        <v>278104353.7815429</v>
      </c>
      <c r="F10" s="18">
        <f>F6*Assumptions!B9</f>
        <v>288139311.6054221</v>
      </c>
      <c r="G10" s="18">
        <f>G6*Assumptions!B9</f>
        <v>297897650.94766337</v>
      </c>
      <c r="H10" s="18">
        <f>H6*Assumptions!B9</f>
        <v>307326128.13365376</v>
      </c>
      <c r="I10" s="18">
        <f>I6*Assumptions!B9</f>
        <v>316371771.87624294</v>
      </c>
      <c r="J10" s="18">
        <f>J6*Assumptions!B9</f>
        <v>324982362.7870819</v>
      </c>
      <c r="K10" s="18">
        <f>K6*Assumptions!B9</f>
        <v>333106921.8567589</v>
      </c>
    </row>
    <row r="11" spans="1:11" x14ac:dyDescent="0.25">
      <c r="A11" t="s">
        <v>54</v>
      </c>
      <c r="B11" s="18">
        <f>-B6*B19</f>
        <v>-188129992.60648593</v>
      </c>
      <c r="C11" s="18">
        <f>-C6*C19</f>
        <v>-206059854.00166103</v>
      </c>
      <c r="D11" s="18">
        <f>-D6*D19</f>
        <v>-224699878.7739098</v>
      </c>
      <c r="E11" s="18">
        <f>-E6*E19</f>
        <v>-243991200.5338096</v>
      </c>
      <c r="F11" s="18">
        <f>-F6*F19</f>
        <v>-263866092.3053521</v>
      </c>
      <c r="G11" s="18">
        <f>-G6*G19</f>
        <v>-284248163.927731</v>
      </c>
      <c r="H11" s="18">
        <f>-H6*H19</f>
        <v>-305052680.99239194</v>
      </c>
      <c r="I11" s="18">
        <f>-I6*I19</f>
        <v>-326187007.04108196</v>
      </c>
      <c r="J11" s="18">
        <f>-J6*J19</f>
        <v>-347551168.7056404</v>
      </c>
      <c r="K11" s="18">
        <f>-K6*K19</f>
        <v>-369038541.3263906</v>
      </c>
    </row>
    <row r="12" spans="1:11" x14ac:dyDescent="0.25">
      <c r="A12" t="s">
        <v>55</v>
      </c>
      <c r="B12" s="18">
        <f>-(B6-Assumptions!B29)*Assumptions!B11</f>
        <v>-3209100.6476527983</v>
      </c>
      <c r="C12" s="18">
        <f>-(C6-B6)*Assumptions!B11</f>
        <v>-21093293.22452159</v>
      </c>
      <c r="D12" s="18">
        <f>-(D6-C6)*Assumptions!B11</f>
        <v>-20853767.658672344</v>
      </c>
      <c r="E12" s="18">
        <f>-(E6-D6)*Assumptions!B11</f>
        <v>-20511553.856641203</v>
      </c>
      <c r="F12" s="18">
        <f>-(F6-E6)*Assumptions!B11</f>
        <v>-20064539.333380606</v>
      </c>
      <c r="G12" s="18">
        <f>-(G6-F6)*Assumptions!B11</f>
        <v>-19511450.57081937</v>
      </c>
      <c r="H12" s="18">
        <f>-(H6-G6)*Assumptions!B11</f>
        <v>-18851902.98478573</v>
      </c>
      <c r="I12" s="18">
        <f>-(I6-H6)*Assumptions!B11</f>
        <v>-18086441.204270903</v>
      </c>
      <c r="J12" s="18">
        <f>-(J6-I6)*Assumptions!B11</f>
        <v>-17216568.624041405</v>
      </c>
      <c r="K12" s="18">
        <f>-(K6-J6)*Assumptions!B11</f>
        <v>-16244765.337428441</v>
      </c>
    </row>
    <row r="13" spans="1:11" x14ac:dyDescent="0.25">
      <c r="A13" s="19" t="s">
        <v>56</v>
      </c>
      <c r="B13" s="20">
        <f>B9+B10+B11+B12</f>
        <v>958452865.9596651</v>
      </c>
      <c r="C13" s="20">
        <f>C9+C10+C11+C12</f>
        <v>971773425.2157252</v>
      </c>
      <c r="D13" s="20">
        <f>D9+D10+D11+D12</f>
        <v>1001949589.565419</v>
      </c>
      <c r="E13" s="20">
        <f>E9+E10+E11+E12</f>
        <v>1030779994.0206171</v>
      </c>
      <c r="F13" s="20">
        <f>F9+F10+F11+F12</f>
        <v>1058090355.7591068</v>
      </c>
      <c r="G13" s="20">
        <f>G9+G10+G11+G12</f>
        <v>1083711249.6497803</v>
      </c>
      <c r="H13" s="20">
        <f>H9+H10+H11+H12</f>
        <v>1107479810.0269063</v>
      </c>
      <c r="I13" s="20">
        <f>I9+I10+I11+I12</f>
        <v>1129241412.7173748</v>
      </c>
      <c r="J13" s="20">
        <f>J9+J10+J11+J12</f>
        <v>1148851313.6925657</v>
      </c>
      <c r="K13" s="20">
        <f>K9+K10+K11+K12</f>
        <v>1166176220.6339843</v>
      </c>
    </row>
    <row r="14" spans="1:11" x14ac:dyDescent="0.25">
      <c r="A14" t="s">
        <v>57</v>
      </c>
      <c r="B14" s="21">
        <f>1/(1+Assumptions!$B$26)^(1-0.5*Assumptions!$B$32)</f>
        <v>0.965035431783953</v>
      </c>
      <c r="C14" s="21">
        <f>1/(1+Assumptions!$B$26)^(2-0.5*Assumptions!$B$32)</f>
        <v>0.8987311135234952</v>
      </c>
      <c r="D14" s="21">
        <f>1/(1+Assumptions!$B$26)^(3-0.5*Assumptions!$B$32)</f>
        <v>0.8369823405572211</v>
      </c>
      <c r="E14" s="21">
        <f>1/(1+Assumptions!$B$26)^(4-0.5*Assumptions!$B$32)</f>
        <v>0.7794761167866592</v>
      </c>
      <c r="F14" s="21">
        <f>1/(1+Assumptions!$B$26)^(5-0.5*Assumptions!$B$32)</f>
        <v>0.7259209510158973</v>
      </c>
      <c r="G14" s="21">
        <f>1/(1+Assumptions!$B$26)^(6-0.5*Assumptions!$B$32)</f>
        <v>0.6760453794225139</v>
      </c>
      <c r="H14" s="21">
        <f>1/(1+Assumptions!$B$26)^(7-0.5*Assumptions!$B$32)</f>
        <v>0.6295965895445299</v>
      </c>
      <c r="I14" s="21">
        <f>1/(1+Assumptions!$B$26)^(8-0.5*Assumptions!$B$32)</f>
        <v>0.5863391388085604</v>
      </c>
      <c r="J14" s="21">
        <f>1/(1+Assumptions!$B$26)^(9-0.5*Assumptions!$B$32)</f>
        <v>0.5460537611035591</v>
      </c>
      <c r="K14" s="21">
        <f>1/(1+Assumptions!$B$26)^(10-0.5*Assumptions!$B$32)</f>
        <v>0.5085362553508419</v>
      </c>
    </row>
    <row r="15" spans="1:11" x14ac:dyDescent="0.25">
      <c r="A15" s="19" t="s">
        <v>58</v>
      </c>
      <c r="B15" s="20">
        <f>B13*B14</f>
        <v>924940975.3459526</v>
      </c>
      <c r="C15" s="20">
        <f>C13*C14</f>
        <v>873363012.5366697</v>
      </c>
      <c r="D15" s="20">
        <f>D13*D14</f>
        <v>838614112.5948114</v>
      </c>
      <c r="E15" s="20">
        <f>E13*E14</f>
        <v>803468387.0005664</v>
      </c>
      <c r="F15" s="20">
        <f>F13*F14</f>
        <v>768089957.3133998</v>
      </c>
      <c r="G15" s="20">
        <f>G13*G14</f>
        <v>732637982.9539323</v>
      </c>
      <c r="H15" s="20">
        <f>H13*H14</f>
        <v>697265511.382364</v>
      </c>
      <c r="I15" s="20">
        <f>I13*I14</f>
        <v>662118437.4396676</v>
      </c>
      <c r="J15" s="20">
        <f>J13*J14</f>
        <v>627334580.7905903</v>
      </c>
      <c r="K15" s="20">
        <f>K13*K14</f>
        <v>593042888.3204036</v>
      </c>
    </row>
    <row r="17" spans="1:2" x14ac:dyDescent="0.25">
      <c r="A17" s="22" t="s">
        <v>59</v>
      </c>
      <c r="B17" s="23">
        <f>SUM(B15:K15)</f>
        <v>7520875845.678358</v>
      </c>
    </row>
    <row r="19" spans="1:11" x14ac:dyDescent="0.25">
      <c r="A19" t="s">
        <v>7</v>
      </c>
      <c r="B19" s="9">
        <f>Assumptions!$B$10+($B$20-Assumptions!$B$10)*0/9</f>
        <v>0.030130720164854324</v>
      </c>
      <c r="C19" s="9">
        <f>Assumptions!$B$10+($B$20-Assumptions!$B$10)*1/9</f>
        <v>0.031649841741872166</v>
      </c>
      <c r="D19" s="9">
        <f>Assumptions!$B$10+($B$20-Assumptions!$B$10)*2/9</f>
        <v>0.03316896331889001</v>
      </c>
      <c r="E19" s="9">
        <f>Assumptions!$B$10+($B$20-Assumptions!$B$10)*3/9</f>
        <v>0.03468808489590785</v>
      </c>
      <c r="F19" s="9">
        <f>Assumptions!$B$10+($B$20-Assumptions!$B$10)*4/9</f>
        <v>0.03620720647292569</v>
      </c>
      <c r="G19" s="9">
        <f>Assumptions!$B$10+($B$20-Assumptions!$B$10)*5/9</f>
        <v>0.03772632804994354</v>
      </c>
      <c r="H19" s="9">
        <f>Assumptions!$B$10+($B$20-Assumptions!$B$10)*6/9</f>
        <v>0.03924544962696137</v>
      </c>
      <c r="I19" s="9">
        <f>Assumptions!$B$10+($B$20-Assumptions!$B$10)*7/9</f>
        <v>0.04076457120397922</v>
      </c>
      <c r="J19" s="9">
        <f>Assumptions!$B$10+($B$20-Assumptions!$B$10)*8/9</f>
        <v>0.04228369278099706</v>
      </c>
      <c r="K19" s="9">
        <f>Assumptions!$B$10+($B$20-Assumptions!$B$10)*9/9</f>
        <v>0.043802814358014905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0.043802814358014905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1166176220.6339843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1393395011.6148453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0.1848035075236767</v>
      </c>
    </row>
    <row r="7" spans="1:2" x14ac:dyDescent="0.25">
      <c r="A7" t="s">
        <v>66</v>
      </c>
      <c r="B7" s="18">
        <f>-MAX(B5,0)*B6</f>
        <v>-257504285.5124176</v>
      </c>
    </row>
    <row r="8" spans="1:2" x14ac:dyDescent="0.25">
      <c r="A8" t="s">
        <v>67</v>
      </c>
      <c r="B8" s="18">
        <f>IF(OR(Assumptions!$B$33=0,Assumptions!B12&lt;=0),B5,MAX(B5+B7,0))</f>
        <v>1135890726.1024277</v>
      </c>
    </row>
    <row r="9" spans="1:2" x14ac:dyDescent="0.25">
      <c r="A9" t="s">
        <v>68</v>
      </c>
      <c r="B9" s="18">
        <f>B8*(1+Assumptions!B12)/(Assumptions!B26-Assumptions!B12)</f>
        <v>23870354974.050766</v>
      </c>
    </row>
    <row r="10" spans="1:2" x14ac:dyDescent="0.25">
      <c r="A10" t="s">
        <v>69</v>
      </c>
      <c r="B10" s="18">
        <f>B9/(1+Assumptions!B26)^(10-0.5*Assumptions!B32)</f>
        <v>12138940932.39912</v>
      </c>
    </row>
    <row r="11" spans="1:2" x14ac:dyDescent="0.25">
      <c r="A11" t="s">
        <v>70</v>
      </c>
      <c r="B11" s="18">
        <f>Forecast!B17+B10</f>
        <v>19659816778.077477</v>
      </c>
    </row>
    <row r="12" spans="1:2" x14ac:dyDescent="0.25">
      <c r="A12" t="s">
        <v>71</v>
      </c>
      <c r="B12" s="18">
        <f>-Assumptions!B30</f>
        <v>-1796100000</v>
      </c>
    </row>
    <row r="13" spans="1:2" x14ac:dyDescent="0.25">
      <c r="A13" t="s">
        <v>72</v>
      </c>
      <c r="B13" s="18">
        <f>B11+B12</f>
        <v>17863716778.077477</v>
      </c>
    </row>
    <row r="14" spans="1:2" x14ac:dyDescent="0.25">
      <c r="A14" s="19" t="s">
        <v>73</v>
      </c>
      <c r="B14" s="24">
        <f>B13/Assumptions!B31</f>
        <v>73.12204984886401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1875325409.756815</v>
      </c>
    </row>
    <row r="18" spans="1:2" x14ac:dyDescent="0.25">
      <c r="A18" t="s">
        <v>68</v>
      </c>
      <c r="B18" s="18">
        <f>B17*Assumptions!B13</f>
        <v>37506508195.1363</v>
      </c>
    </row>
    <row r="19" spans="1:2" x14ac:dyDescent="0.25">
      <c r="A19" t="s">
        <v>69</v>
      </c>
      <c r="B19" s="18">
        <f>B18/(1+Assumptions!B26)^(10-0.5*Assumptions!B32)</f>
        <v>19073419228.84028</v>
      </c>
    </row>
    <row r="20" spans="1:2" x14ac:dyDescent="0.25">
      <c r="A20" t="s">
        <v>70</v>
      </c>
      <c r="B20" s="18">
        <f>Forecast!B17+B19</f>
        <v>26594295074.51864</v>
      </c>
    </row>
    <row r="21" spans="1:2" x14ac:dyDescent="0.25">
      <c r="A21" t="s">
        <v>71</v>
      </c>
      <c r="B21" s="18">
        <f>-Assumptions!B30</f>
        <v>-1796100000</v>
      </c>
    </row>
    <row r="22" spans="1:2" x14ac:dyDescent="0.25">
      <c r="A22" t="s">
        <v>72</v>
      </c>
      <c r="B22" s="18">
        <f>B20+B21</f>
        <v>24798195074.51864</v>
      </c>
    </row>
    <row r="23" spans="1:2" x14ac:dyDescent="0.25">
      <c r="A23" s="19" t="s">
        <v>73</v>
      </c>
      <c r="B23" s="25">
        <f>B22/Assumptions!B31</f>
        <v>101.50714316217208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107.23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73.12204984886401</v>
      </c>
    </row>
    <row r="29" spans="1:2" x14ac:dyDescent="0.25">
      <c r="A29" s="19" t="s">
        <v>81</v>
      </c>
      <c r="B29" s="11">
        <f>B28/B26-1</f>
        <v>-0.31808216125278366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0.053775</v>
      </c>
      <c r="B5" s="31">
        <v>108.34206715261979</v>
      </c>
      <c r="C5" s="31">
        <v>116.19191200669505</v>
      </c>
      <c r="D5" s="31">
        <v>126.9628766788336</v>
      </c>
      <c r="E5" s="31">
        <v>142.49793897223003</v>
      </c>
      <c r="F5" s="31">
        <v>166.60330204634468</v>
      </c>
    </row>
    <row r="6" spans="1:6" x14ac:dyDescent="0.25">
      <c r="A6" s="30">
        <v>0.063775</v>
      </c>
      <c r="B6" s="31">
        <v>84.73917225675532</v>
      </c>
      <c r="C6" s="31">
        <v>88.38865095485032</v>
      </c>
      <c r="D6" s="31">
        <v>93.11464903490361</v>
      </c>
      <c r="E6" s="31">
        <v>99.39526540822169</v>
      </c>
      <c r="F6" s="31">
        <v>108.0409005752032</v>
      </c>
    </row>
    <row r="7" spans="1:6" x14ac:dyDescent="0.25">
      <c r="A7" s="30">
        <v>0.073775</v>
      </c>
      <c r="B7" s="31">
        <v>69.17533140075818</v>
      </c>
      <c r="C7" s="31">
        <v>70.91944078912043</v>
      </c>
      <c r="D7" s="32">
        <v>73.12281140067276</v>
      </c>
      <c r="E7" s="31">
        <v>75.94281429990075</v>
      </c>
      <c r="F7" s="31">
        <v>79.61799195785872</v>
      </c>
    </row>
    <row r="8" spans="1:6" x14ac:dyDescent="0.25">
      <c r="A8" s="30">
        <v>0.083775</v>
      </c>
      <c r="B8" s="31">
        <v>58.14360179166053</v>
      </c>
      <c r="C8" s="31">
        <v>58.92376454749916</v>
      </c>
      <c r="D8" s="31">
        <v>59.91648366799421</v>
      </c>
      <c r="E8" s="31">
        <v>61.181049631431975</v>
      </c>
      <c r="F8" s="31">
        <v>62.80106474727718</v>
      </c>
    </row>
    <row r="9" spans="1:6" x14ac:dyDescent="0.25">
      <c r="A9" s="30">
        <v>0.093775</v>
      </c>
      <c r="B9" s="31">
        <v>49.91777988299433</v>
      </c>
      <c r="C9" s="31">
        <v>50.17635264894218</v>
      </c>
      <c r="D9" s="31">
        <v>50.53710470235308</v>
      </c>
      <c r="E9" s="31">
        <v>51.02406880390046</v>
      </c>
      <c r="F9" s="31">
        <v>51.66945559964211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6203200000</v>
      </c>
      <c r="C5" s="18">
        <v>6107100000</v>
      </c>
      <c r="D5" s="18">
        <v>5867900000</v>
      </c>
      <c r="E5" s="18">
        <v>5375600000</v>
      </c>
      <c r="F5" s="6" t="s">
        <v>91</v>
      </c>
    </row>
    <row r="6" spans="1:6" x14ac:dyDescent="0.25">
      <c r="A6" t="s">
        <v>51</v>
      </c>
      <c r="B6" s="18">
        <v>1077600000</v>
      </c>
      <c r="C6" s="18">
        <v>1164200000</v>
      </c>
      <c r="D6" s="18">
        <v>1057400000</v>
      </c>
      <c r="E6" s="18">
        <v>1008800000</v>
      </c>
      <c r="F6" s="6" t="s">
        <v>92</v>
      </c>
    </row>
    <row r="7" spans="1:6" x14ac:dyDescent="0.25">
      <c r="A7" t="s">
        <v>93</v>
      </c>
      <c r="B7" s="18">
        <v>247400000</v>
      </c>
      <c r="C7" s="18">
        <v>239100000</v>
      </c>
      <c r="D7" s="18">
        <v>225200000</v>
      </c>
      <c r="E7" s="18">
        <v>219000000</v>
      </c>
      <c r="F7" s="6" t="s">
        <v>94</v>
      </c>
    </row>
    <row r="8" spans="1:6" x14ac:dyDescent="0.25">
      <c r="A8" t="s">
        <v>95</v>
      </c>
      <c r="B8" s="18">
        <v>122400000</v>
      </c>
      <c r="C8" s="18">
        <v>179800000</v>
      </c>
      <c r="D8" s="18">
        <v>223500000</v>
      </c>
      <c r="E8" s="18">
        <v>178800000</v>
      </c>
      <c r="F8" s="6" t="s">
        <v>96</v>
      </c>
    </row>
    <row r="9" spans="1:6" x14ac:dyDescent="0.25">
      <c r="A9" t="s">
        <v>97</v>
      </c>
      <c r="B9" s="18">
        <v>-9800000</v>
      </c>
      <c r="C9" s="18">
        <v>8200000</v>
      </c>
      <c r="D9" s="18">
        <v>9300000</v>
      </c>
      <c r="E9" s="18">
        <v>68900000</v>
      </c>
      <c r="F9" s="6" t="s">
        <v>98</v>
      </c>
    </row>
    <row r="10" spans="1:6" x14ac:dyDescent="0.25">
      <c r="A10" t="s">
        <v>99</v>
      </c>
      <c r="B10" s="18">
        <v>2205100000</v>
      </c>
      <c r="C10" s="18">
        <v>2204600000</v>
      </c>
      <c r="D10" s="18">
        <v>2406000000</v>
      </c>
      <c r="E10" s="18">
        <v>2673500000</v>
      </c>
      <c r="F10" s="6" t="s">
        <v>100</v>
      </c>
    </row>
    <row r="11" spans="1:6" x14ac:dyDescent="0.25">
      <c r="A11" t="s">
        <v>101</v>
      </c>
      <c r="B11" s="18">
        <v>409000000</v>
      </c>
      <c r="C11" s="18">
        <v>964100000</v>
      </c>
      <c r="D11" s="18">
        <v>344500000</v>
      </c>
      <c r="E11" s="18">
        <v>270300000</v>
      </c>
      <c r="F11" s="6" t="s">
        <v>102</v>
      </c>
    </row>
    <row r="12" spans="1:6" x14ac:dyDescent="0.25">
      <c r="A12" t="s">
        <v>34</v>
      </c>
      <c r="B12" s="34">
        <v>244300000</v>
      </c>
      <c r="C12" s="34">
        <v>246900000</v>
      </c>
      <c r="D12" s="34">
        <v>247600000</v>
      </c>
      <c r="E12" s="34">
        <v>246300000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