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<sst xmlns="http://schemas.openxmlformats.org/spreadsheetml/2006/main" count="121" uniqueCount="108">
  <si>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C.H. Robinson Worldwide, Inc. (CHRW)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</si>
  <si>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</si>
  <si>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</si>
  <si>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</si>
  <si>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</si>
  <si>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</si>
  <si>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</si>
  <si>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</si>
  <si>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</si>
  <si>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</si>
  <si>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</si>
  <si>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</si>
  <si>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</si>
  <si>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</si>
  <si>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</si>
  <si>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</si>
  <si>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</si>
  <si>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</si>
  <si>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</si>
  <si>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</si>
  <si>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</si>
  <si>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</si>
  <si>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</si>
  <si>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</si>
  <si>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11.0x interest cover. Book interest / average debt was lower, at 4.6%.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</si>
  <si>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</si>
  <si>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</si>
  <si>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</si>
  <si>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</si>
  <si>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</si>
  <si>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</si>
  <si>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</si>
  <si>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</si>
  <si>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</si>
  <si>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</si>
  <si>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</si>
  <si>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</si>
  <si>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</si>
  <si>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</si>
  <si>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</si>
  <si>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</si>
  <si>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</si>
  <si>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</si>
  <si>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</si>
  <si>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</si>
  <si>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</si>
  <si>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</si>
  <si>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</si>
  <si>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</si>
  <si>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</si>
  <si>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</si>
  <si>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</si>
  <si>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</si>
  <si>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</si>
  <si>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</si>
  <si>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</si>
  <si>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</si>
  <si>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</si>
  <si>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</si>
  <si>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</si>
  <si>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</si>
  <si>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</si>
  <si>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</si>
  <si>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</si>
  <si>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</si>
  <si>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</si>
  <si>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</si>
  <si>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</si>
  <si>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</si>
  <si>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</si>
  <si>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</si>
  <si>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</si>
  <si>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</si>
  <si>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</si>
  <si>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</si>
  <si>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</si>
  <si>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</si>
  <si>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</si>
  <si>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</si>
  <si>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</si>
  <si>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</si>
  <si>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</si>
  <si>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</si>
  <si>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</si>
  <si>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</si>
  <si>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</si>
  <si>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</si>
  <si>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</si>
  <si>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</si>
  <si>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</si>
  <si>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</si>
  <si>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</si>
  <si>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</si>
  <si>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</si>
  <si>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</si>
  <si>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</si>
  <si>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</si>
  <si>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</si>
  <si>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</si>
  <si>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</si>
  <si>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</si>
  <si>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</si>
  <si>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</si>
  <si>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</si>
  <si>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</si>
  <si>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0.46%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</si>
  <si>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0.5%.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</si>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</sst>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0.17380906318905787</v>
      </c>
    </row>
    <row r="7" spans="1:2" x14ac:dyDescent="0.25">
      <c r="A7" t="s">
        <v>4</v>
      </c>
      <c r="B7" s="5">
        <v>0.04181566175948606</v>
      </c>
    </row>
    <row r="8" spans="1:2" x14ac:dyDescent="0.25">
      <c r="A8" t="s">
        <v>5</v>
      </c>
      <c r="B8" s="5">
        <v>0.19494363815619692</v>
      </c>
    </row>
    <row r="9" spans="1:2" x14ac:dyDescent="0.25">
      <c r="A9" t="s">
        <v>6</v>
      </c>
      <c r="B9" s="5">
        <v>0.0052993570972444115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0.06487187570936027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17.46755267833175</v>
      </c>
    </row>
    <row r="14" spans="1:3" x14ac:dyDescent="0.25">
      <c r="A14" t="s">
        <v>12</v>
      </c>
      <c r="B14" s="5">
        <v>0.1959187251541087</v>
      </c>
      <c r="C14" s="6" t="s">
        <v>13</v>
      </c>
    </row>
    <row r="15" spans="1:3" x14ac:dyDescent="0.25">
      <c r="A15" t="s">
        <v>14</v>
      </c>
      <c r="B15" s="5">
        <v>0.0019560059220984608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0.96583</v>
      </c>
      <c r="C19" s="6" t="s">
        <v>21</v>
      </c>
    </row>
    <row r="20" spans="1:2" x14ac:dyDescent="0.25">
      <c r="A20" t="s">
        <v>22</v>
      </c>
      <c r="B20" s="9">
        <f>B17+B19*B18</f>
        <v>0.089794609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14447486976</v>
      </c>
    </row>
    <row r="23" spans="1:2" x14ac:dyDescent="0.25">
      <c r="A23" t="s">
        <v>26</v>
      </c>
      <c r="B23" s="10">
        <v>1395386000</v>
      </c>
    </row>
    <row r="24" spans="1:2" x14ac:dyDescent="0.25">
      <c r="A24" t="s">
        <v>27</v>
      </c>
      <c r="B24" s="9">
        <f>B22/(B22+B23)</f>
        <v>0.9119234243616143</v>
      </c>
    </row>
    <row r="25" spans="1:2" x14ac:dyDescent="0.25">
      <c r="A25" t="s">
        <v>28</v>
      </c>
      <c r="B25" s="9">
        <f>1-B24</f>
        <v>0.08807657563838567</v>
      </c>
    </row>
    <row r="26" spans="1:2" x14ac:dyDescent="0.25">
      <c r="A26" t="s">
        <v>29</v>
      </c>
      <c r="B26" s="11">
        <f>B24*B20+B25*B21*(1-B8)</f>
        <v>0.08563960313203567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16232763000</v>
      </c>
      <c r="C29" s="6" t="s">
        <v>32</v>
      </c>
    </row>
    <row r="30" spans="1:2" x14ac:dyDescent="0.25">
      <c r="A30" t="s">
        <v>33</v>
      </c>
      <c r="B30" s="10">
        <v>1234515000</v>
      </c>
    </row>
    <row r="31" spans="1:2" x14ac:dyDescent="0.25">
      <c r="A31" t="s">
        <v>34</v>
      </c>
      <c r="B31" s="12">
        <v>121502000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0.17380906318905787</v>
      </c>
      <c r="C5" s="5">
        <v>0.06602797993188081</v>
      </c>
      <c r="D5" s="5">
        <v>0.06089948244039571</v>
      </c>
      <c r="E5" s="5">
        <v>0.055770984948910605</v>
      </c>
      <c r="F5" s="5">
        <v>0.05064248745742551</v>
      </c>
      <c r="G5" s="5">
        <v>0.0455139899659404</v>
      </c>
      <c r="H5" s="5">
        <v>0.0403854924744553</v>
      </c>
      <c r="I5" s="5">
        <v>0.035256994982970205</v>
      </c>
      <c r="J5" s="5">
        <v>0.0301284974914851</v>
      </c>
      <c r="K5" s="5">
        <v>0.025</v>
      </c>
    </row>
    <row r="6" spans="1:11" x14ac:dyDescent="0.25">
      <c r="A6" t="s">
        <v>50</v>
      </c>
      <c r="B6" s="18">
        <f>Assumptions!B29*(1+B5)</f>
        <v>19054164330</v>
      </c>
      <c r="C6" s="18">
        <f>B6*(1+C5)</f>
        <v>20312272310</v>
      </c>
      <c r="D6" s="18">
        <f>C6*(1+D5)</f>
        <v>21549279180.867382</v>
      </c>
      <c r="E6" s="18">
        <f>D6*(1+E5)</f>
        <v>22751103705.723408</v>
      </c>
      <c r="F6" s="18">
        <f>E6*(1+F5)</f>
        <v>23903276189.783096</v>
      </c>
      <c r="G6" s="18">
        <f>F6*(1+G5)</f>
        <v>24991209662.43799</v>
      </c>
      <c r="H6" s="18">
        <f>G6*(1+H5)</f>
        <v>26000491972.187912</v>
      </c>
      <c r="I6" s="18">
        <f>H6*(1+I5)</f>
        <v>26917191187.206097</v>
      </c>
      <c r="J6" s="18">
        <f>I6*(1+J5)</f>
        <v>27728165714.36766</v>
      </c>
      <c r="K6" s="18">
        <f>J6*(1+K5)</f>
        <v>28421369857.22685</v>
      </c>
    </row>
    <row r="7" spans="1:11" x14ac:dyDescent="0.25">
      <c r="A7" t="s">
        <v>4</v>
      </c>
      <c r="B7" s="9">
        <f>Assumptions!B7</f>
        <v>0.04181566175948606</v>
      </c>
      <c r="C7" s="9">
        <f>Assumptions!B7</f>
        <v>0.04181566175948606</v>
      </c>
      <c r="D7" s="9">
        <f>Assumptions!B7</f>
        <v>0.04181566175948606</v>
      </c>
      <c r="E7" s="9">
        <f>Assumptions!B7</f>
        <v>0.04181566175948606</v>
      </c>
      <c r="F7" s="9">
        <f>Assumptions!B7</f>
        <v>0.04181566175948606</v>
      </c>
      <c r="G7" s="9">
        <f>Assumptions!B7</f>
        <v>0.04181566175948606</v>
      </c>
      <c r="H7" s="9">
        <f>Assumptions!B7</f>
        <v>0.04181566175948606</v>
      </c>
      <c r="I7" s="9">
        <f>Assumptions!B7</f>
        <v>0.04181566175948606</v>
      </c>
      <c r="J7" s="9">
        <f>Assumptions!B7</f>
        <v>0.04181566175948606</v>
      </c>
      <c r="K7" s="9">
        <f>Assumptions!B7</f>
        <v>0.04181566175948606</v>
      </c>
    </row>
    <row r="8" spans="1:11" x14ac:dyDescent="0.25">
      <c r="A8" t="s">
        <v>51</v>
      </c>
      <c r="B8" s="18">
        <f>B6*B7</f>
        <v>796762490.7329444</v>
      </c>
      <c r="C8" s="18">
        <f>C6*C7</f>
        <v>849371108.4815346</v>
      </c>
      <c r="D8" s="18">
        <f>D6*D7</f>
        <v>901097369.3878853</v>
      </c>
      <c r="E8" s="18">
        <f>E6*E7</f>
        <v>951352457.2135199</v>
      </c>
      <c r="F8" s="18">
        <f>F6*F7</f>
        <v>999531312.0955467</v>
      </c>
      <c r="G8" s="18">
        <f>G6*G7</f>
        <v>1045023970.2049067</v>
      </c>
      <c r="H8" s="18">
        <f>H6*H7</f>
        <v>1087227777.8892424</v>
      </c>
      <c r="I8" s="18">
        <f>I6*I7</f>
        <v>1125560162.1996293</v>
      </c>
      <c r="J8" s="18">
        <f>J6*J7</f>
        <v>1159471598.7229762</v>
      </c>
      <c r="K8" s="18">
        <f>K6*K7</f>
        <v>1188458388.6910505</v>
      </c>
    </row>
    <row r="9" spans="1:11" x14ac:dyDescent="0.25">
      <c r="A9" t="s">
        <v>52</v>
      </c>
      <c r="B9" s="18">
        <f>B8*(1-Assumptions!B8)</f>
        <v>641438712.0430712</v>
      </c>
      <c r="C9" s="18">
        <f>C8*(1-Assumptions!B8)</f>
        <v>683791614.4493825</v>
      </c>
      <c r="D9" s="18">
        <f>D8*(1-Assumptions!B8)</f>
        <v>725434169.8664325</v>
      </c>
      <c r="E9" s="18">
        <f>E8*(1-Assumptions!B8)</f>
        <v>765892348.0354787</v>
      </c>
      <c r="F9" s="18">
        <f>F8*(1-Assumptions!B8)</f>
        <v>804679041.6646038</v>
      </c>
      <c r="G9" s="18">
        <f>G8*(1-Assumptions!B8)</f>
        <v>841303195.4927291</v>
      </c>
      <c r="H9" s="18">
        <f>H8*(1-Assumptions!B8)</f>
        <v>875279639.3630359</v>
      </c>
      <c r="I9" s="18">
        <f>I8*(1-Assumptions!B8)</f>
        <v>906139369.2167546</v>
      </c>
      <c r="J9" s="18">
        <f>J8*(1-Assumptions!B8)</f>
        <v>933439986.9291372</v>
      </c>
      <c r="K9" s="18">
        <f>K8*(1-Assumptions!B8)</f>
        <v>956775986.6023656</v>
      </c>
    </row>
    <row r="10" spans="1:11" x14ac:dyDescent="0.25">
      <c r="A10" t="s">
        <v>53</v>
      </c>
      <c r="B10" s="18">
        <f>B6*Assumptions!B9</f>
        <v>100974820.9742468</v>
      </c>
      <c r="C10" s="18">
        <f>C6*Assumptions!B9</f>
        <v>107641984.42715964</v>
      </c>
      <c r="D10" s="18">
        <f>D6*Assumptions!B9</f>
        <v>114197325.5676308</v>
      </c>
      <c r="E10" s="18">
        <f>E6*Assumptions!B9</f>
        <v>120566222.89306897</v>
      </c>
      <c r="F10" s="18">
        <f>F6*Assumptions!B9</f>
        <v>126671996.32372041</v>
      </c>
      <c r="G10" s="18">
        <f>G6*Assumptions!B9</f>
        <v>132437344.29336387</v>
      </c>
      <c r="H10" s="18">
        <f>H6*Assumptions!B9</f>
        <v>137785891.66466036</v>
      </c>
      <c r="I10" s="18">
        <f>I6*Assumptions!B9</f>
        <v>142643808.15580535</v>
      </c>
      <c r="J10" s="18">
        <f>J6*Assumptions!B9</f>
        <v>146941451.7720034</v>
      </c>
      <c r="K10" s="18">
        <f>K6*Assumptions!B9</f>
        <v>150614988.0663035</v>
      </c>
    </row>
    <row r="11" spans="1:11" x14ac:dyDescent="0.25">
      <c r="A11" t="s">
        <v>54</v>
      </c>
      <c r="B11" s="18">
        <f>-B6*B19</f>
        <v>-190541643.3</v>
      </c>
      <c r="C11" s="18">
        <f>-C6*C19</f>
        <v>-195438177.90908456</v>
      </c>
      <c r="D11" s="18">
        <f>-D6*D19</f>
        <v>-199187731.77700976</v>
      </c>
      <c r="E11" s="18">
        <f>-E6*E19</f>
        <v>-201689423.12331247</v>
      </c>
      <c r="F11" s="18">
        <f>-F6*F19</f>
        <v>-202860382.30622998</v>
      </c>
      <c r="G11" s="18">
        <f>-G6*G19</f>
        <v>-202638685.48265827</v>
      </c>
      <c r="H11" s="18">
        <f>-H6*H19</f>
        <v>-200985834.3639262</v>
      </c>
      <c r="I11" s="18">
        <f>-I6*I19</f>
        <v>-197888670.75869024</v>
      </c>
      <c r="J11" s="18">
        <f>-J6*J19</f>
        <v>-193360630.78431678</v>
      </c>
      <c r="K11" s="18">
        <f>-K6*K19</f>
        <v>-187442265.0516317</v>
      </c>
    </row>
    <row r="12" spans="1:11" x14ac:dyDescent="0.25">
      <c r="A12" t="s">
        <v>55</v>
      </c>
      <c r="B12" s="18">
        <f>-(B6-Assumptions!B29)*Assumptions!B11</f>
        <v>-183029596.40598378</v>
      </c>
      <c r="C12" s="18">
        <f>-(C6-B6)*Assumptions!B11</f>
        <v>-81615824.50751433</v>
      </c>
      <c r="D12" s="18">
        <f>-(D6-C6)*Assumptions!B11</f>
        <v>-80246955.97853348</v>
      </c>
      <c r="E12" s="18">
        <f>-(E6-D6)*Assumptions!B11</f>
        <v>-77964611.20092107</v>
      </c>
      <c r="F12" s="18">
        <f>-(F6-E6)*Assumptions!B11</f>
        <v>-74743590.181665</v>
      </c>
      <c r="G12" s="18">
        <f>-(G6-F6)*Assumptions!B11</f>
        <v>-70576285.01812086</v>
      </c>
      <c r="H12" s="18">
        <f>-(H6-G6)*Assumptions!B11</f>
        <v>-65474036.55375311</v>
      </c>
      <c r="I12" s="18">
        <f>-(I6-H6)*Assumptions!B11</f>
        <v>-59467997.5395278</v>
      </c>
      <c r="J12" s="18">
        <f>-(J6-I6)*Assumptions!B11</f>
        <v>-52609438.72948219</v>
      </c>
      <c r="K12" s="18">
        <f>-(K6-J6)*Assumptions!B11</f>
        <v>-44969452.996774875</v>
      </c>
    </row>
    <row r="13" spans="1:11" x14ac:dyDescent="0.25">
      <c r="A13" s="19" t="s">
        <v>56</v>
      </c>
      <c r="B13" s="20">
        <f>B9+B10+B11+B12</f>
        <v>368842293.31133425</v>
      </c>
      <c r="C13" s="20">
        <f>C9+C10+C11+C12</f>
        <v>514379596.4599433</v>
      </c>
      <c r="D13" s="20">
        <f>D9+D10+D11+D12</f>
        <v>560196807.6785201</v>
      </c>
      <c r="E13" s="20">
        <f>E9+E10+E11+E12</f>
        <v>606804536.6043141</v>
      </c>
      <c r="F13" s="20">
        <f>F9+F10+F11+F12</f>
        <v>653747065.5004294</v>
      </c>
      <c r="G13" s="20">
        <f>G9+G10+G11+G12</f>
        <v>700525569.2853138</v>
      </c>
      <c r="H13" s="20">
        <f>H9+H10+H11+H12</f>
        <v>746605660.110017</v>
      </c>
      <c r="I13" s="20">
        <f>I9+I10+I11+I12</f>
        <v>791426509.0743419</v>
      </c>
      <c r="J13" s="20">
        <f>J9+J10+J11+J12</f>
        <v>834411369.1873417</v>
      </c>
      <c r="K13" s="20">
        <f>K9+K10+K11+K12</f>
        <v>874979256.6202626</v>
      </c>
    </row>
    <row r="14" spans="1:11" x14ac:dyDescent="0.25">
      <c r="A14" t="s">
        <v>57</v>
      </c>
      <c r="B14" s="21">
        <f>1/(1+Assumptions!$B$26)^(1-0.5*Assumptions!$B$32)</f>
        <v>0.9597478793964757</v>
      </c>
      <c r="C14" s="21">
        <f>1/(1+Assumptions!$B$26)^(2-0.5*Assumptions!$B$32)</f>
        <v>0.8840391200059704</v>
      </c>
      <c r="D14" s="21">
        <f>1/(1+Assumptions!$B$26)^(3-0.5*Assumptions!$B$32)</f>
        <v>0.814302570996439</v>
      </c>
      <c r="E14" s="21">
        <f>1/(1+Assumptions!$B$26)^(4-0.5*Assumptions!$B$32)</f>
        <v>0.7500671204764473</v>
      </c>
      <c r="F14" s="21">
        <f>1/(1+Assumptions!$B$26)^(5-0.5*Assumptions!$B$32)</f>
        <v>0.6908988197487708</v>
      </c>
      <c r="G14" s="21">
        <f>1/(1+Assumptions!$B$26)^(6-0.5*Assumptions!$B$32)</f>
        <v>0.6363979517286857</v>
      </c>
      <c r="H14" s="21">
        <f>1/(1+Assumptions!$B$26)^(7-0.5*Assumptions!$B$32)</f>
        <v>0.5861963306171752</v>
      </c>
      <c r="I14" s="21">
        <f>1/(1+Assumptions!$B$26)^(8-0.5*Assumptions!$B$32)</f>
        <v>0.5399548145867353</v>
      </c>
      <c r="J14" s="21">
        <f>1/(1+Assumptions!$B$26)^(9-0.5*Assumptions!$B$32)</f>
        <v>0.49736101467649385</v>
      </c>
      <c r="K14" s="21">
        <f>1/(1+Assumptions!$B$26)^(10-0.5*Assumptions!$B$32)</f>
        <v>0.4581271844188653</v>
      </c>
    </row>
    <row r="15" spans="1:11" x14ac:dyDescent="0.25">
      <c r="A15" s="19" t="s">
        <v>58</v>
      </c>
      <c r="B15" s="20">
        <f>B13*B14</f>
        <v>353995608.83728594</v>
      </c>
      <c r="C15" s="20">
        <f>C13*C14</f>
        <v>454731685.8034744</v>
      </c>
      <c r="D15" s="20">
        <f>D13*D14</f>
        <v>456169700.7566166</v>
      </c>
      <c r="E15" s="20">
        <f>E13*E14</f>
        <v>455144131.4628428</v>
      </c>
      <c r="F15" s="20">
        <f>F13*F14</f>
        <v>451673075.968469</v>
      </c>
      <c r="G15" s="20">
        <f>G13*G14</f>
        <v>445813037.42674524</v>
      </c>
      <c r="H15" s="20">
        <f>H13*H14</f>
        <v>437657498.3745059</v>
      </c>
      <c r="I15" s="20">
        <f>I13*I14</f>
        <v>427334553.9662635</v>
      </c>
      <c r="J15" s="20">
        <f>J13*J14</f>
        <v>415003685.23661876</v>
      </c>
      <c r="K15" s="20">
        <f>K13*K14</f>
        <v>400851783.26035273</v>
      </c>
    </row>
    <row r="17" spans="1:2" x14ac:dyDescent="0.25">
      <c r="A17" s="22" t="s">
        <v>59</v>
      </c>
      <c r="B17" s="23">
        <f>SUM(B15:K15)</f>
        <v>4298374761.093176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0.009621679688336384</v>
      </c>
      <c r="D19" s="9">
        <f>Assumptions!$B$10+($B$20-Assumptions!$B$10)*2/9</f>
        <v>0.009243359376672767</v>
      </c>
      <c r="E19" s="9">
        <f>Assumptions!$B$10+($B$20-Assumptions!$B$10)*3/9</f>
        <v>0.00886503906500915</v>
      </c>
      <c r="F19" s="9">
        <f>Assumptions!$B$10+($B$20-Assumptions!$B$10)*4/9</f>
        <v>0.008486718753345534</v>
      </c>
      <c r="G19" s="9">
        <f>Assumptions!$B$10+($B$20-Assumptions!$B$10)*5/9</f>
        <v>0.008108398441681918</v>
      </c>
      <c r="H19" s="9">
        <f>Assumptions!$B$10+($B$20-Assumptions!$B$10)*6/9</f>
        <v>0.007730078130018301</v>
      </c>
      <c r="I19" s="9">
        <f>Assumptions!$B$10+($B$20-Assumptions!$B$10)*7/9</f>
        <v>0.007351757818354685</v>
      </c>
      <c r="J19" s="9">
        <f>Assumptions!$B$10+($B$20-Assumptions!$B$10)*8/9</f>
        <v>0.006973437506691068</v>
      </c>
      <c r="K19" s="9">
        <f>Assumptions!$B$10+($B$20-Assumptions!$B$10)*9/9</f>
        <v>0.006595117195027452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0.006595117195027452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874979256.6202626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1033274551.6031401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0.12760393362265463</v>
      </c>
    </row>
    <row r="7" spans="1:2" x14ac:dyDescent="0.25">
      <c r="A7" t="s">
        <v>66</v>
      </c>
      <c r="B7" s="18">
        <f>-MAX(B5,0)*B6</f>
        <v>-131849897.29674532</v>
      </c>
    </row>
    <row r="8" spans="1:2" x14ac:dyDescent="0.25">
      <c r="A8" t="s">
        <v>67</v>
      </c>
      <c r="B8" s="18">
        <f>IF(OR(Assumptions!$B$33=0,Assumptions!B12&lt;=0),B5,MAX(B5+B7,0))</f>
        <v>901424654.3063948</v>
      </c>
    </row>
    <row r="9" spans="1:2" x14ac:dyDescent="0.25">
      <c r="A9" t="s">
        <v>68</v>
      </c>
      <c r="B9" s="18">
        <f>B8*(1+Assumptions!B12)/(Assumptions!B26-Assumptions!B12)</f>
        <v>15236911571.671055</v>
      </c>
    </row>
    <row r="10" spans="1:2" x14ac:dyDescent="0.25">
      <c r="A10" t="s">
        <v>69</v>
      </c>
      <c r="B10" s="18">
        <f>B9/(1+Assumptions!B26)^(10-0.5*Assumptions!B32)</f>
        <v>6980443397.568888</v>
      </c>
    </row>
    <row r="11" spans="1:2" x14ac:dyDescent="0.25">
      <c r="A11" t="s">
        <v>70</v>
      </c>
      <c r="B11" s="18">
        <f>Forecast!B17+B10</f>
        <v>11278818158.662064</v>
      </c>
    </row>
    <row r="12" spans="1:2" x14ac:dyDescent="0.25">
      <c r="A12" t="s">
        <v>71</v>
      </c>
      <c r="B12" s="18">
        <f>-Assumptions!B30</f>
        <v>-1234515000</v>
      </c>
    </row>
    <row r="13" spans="1:2" x14ac:dyDescent="0.25">
      <c r="A13" t="s">
        <v>72</v>
      </c>
      <c r="B13" s="18">
        <f>B11+B12</f>
        <v>10044303158.662064</v>
      </c>
    </row>
    <row r="14" spans="1:2" x14ac:dyDescent="0.25">
      <c r="A14" s="19" t="s">
        <v>73</v>
      </c>
      <c r="B14" s="24">
        <f>B13/Assumptions!B31</f>
        <v>82.66780101283982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1339073376.757354</v>
      </c>
    </row>
    <row r="18" spans="1:2" x14ac:dyDescent="0.25">
      <c r="A18" t="s">
        <v>68</v>
      </c>
      <c r="B18" s="18">
        <f>B17*Assumptions!B13</f>
        <v>23390334748.66066</v>
      </c>
    </row>
    <row r="19" spans="1:2" x14ac:dyDescent="0.25">
      <c r="A19" t="s">
        <v>69</v>
      </c>
      <c r="B19" s="18">
        <f>B18/(1+Assumptions!B26)^(10-0.5*Assumptions!B32)</f>
        <v>10715748201.018656</v>
      </c>
    </row>
    <row r="20" spans="1:2" x14ac:dyDescent="0.25">
      <c r="A20" t="s">
        <v>70</v>
      </c>
      <c r="B20" s="18">
        <f>Forecast!B17+B19</f>
        <v>15014122962.111832</v>
      </c>
    </row>
    <row r="21" spans="1:2" x14ac:dyDescent="0.25">
      <c r="A21" t="s">
        <v>71</v>
      </c>
      <c r="B21" s="18">
        <f>-Assumptions!B30</f>
        <v>-1234515000</v>
      </c>
    </row>
    <row r="22" spans="1:2" x14ac:dyDescent="0.25">
      <c r="A22" t="s">
        <v>72</v>
      </c>
      <c r="B22" s="18">
        <f>B20+B21</f>
        <v>13779607962.111832</v>
      </c>
    </row>
    <row r="23" spans="1:2" x14ac:dyDescent="0.25">
      <c r="A23" s="19" t="s">
        <v>73</v>
      </c>
      <c r="B23" s="25">
        <f>B22/Assumptions!B31</f>
        <v>113.41054437056042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124.61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82.66780101283982</v>
      </c>
    </row>
    <row r="29" spans="1:2" x14ac:dyDescent="0.25">
      <c r="A29" s="19" t="s">
        <v>81</v>
      </c>
      <c r="B29" s="11">
        <f>B28/B26-1</f>
        <v>-0.3365877456637524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0.06564</v>
      </c>
      <c r="B5" s="31">
        <v>116.04124699371118</v>
      </c>
      <c r="C5" s="31">
        <v>122.64232763934307</v>
      </c>
      <c r="D5" s="31">
        <v>130.9969555041522</v>
      </c>
      <c r="E5" s="31">
        <v>141.84315551203483</v>
      </c>
      <c r="F5" s="31">
        <v>156.40069209334666</v>
      </c>
    </row>
    <row r="6" spans="1:6" x14ac:dyDescent="0.25">
      <c r="A6" s="30">
        <v>0.07564</v>
      </c>
      <c r="B6" s="31">
        <v>93.8641181562106</v>
      </c>
      <c r="C6" s="31">
        <v>97.53063929096437</v>
      </c>
      <c r="D6" s="31">
        <v>102.01922540233967</v>
      </c>
      <c r="E6" s="31">
        <v>107.60005560184673</v>
      </c>
      <c r="F6" s="31">
        <v>114.67627116217191</v>
      </c>
    </row>
    <row r="7" spans="1:6" x14ac:dyDescent="0.25">
      <c r="A7" s="30">
        <v>0.08564</v>
      </c>
      <c r="B7" s="31">
        <v>78.04827850187368</v>
      </c>
      <c r="C7" s="31">
        <v>80.1460396081087</v>
      </c>
      <c r="D7" s="32">
        <v>82.66716092343732</v>
      </c>
      <c r="E7" s="31">
        <v>85.72577622097977</v>
      </c>
      <c r="F7" s="31">
        <v>89.48109580352445</v>
      </c>
    </row>
    <row r="8" spans="1:6" x14ac:dyDescent="0.25">
      <c r="A8" s="30">
        <v>0.09564</v>
      </c>
      <c r="B8" s="31">
        <v>66.22155291386693</v>
      </c>
      <c r="C8" s="31">
        <v>67.41869837364504</v>
      </c>
      <c r="D8" s="31">
        <v>68.84822742813355</v>
      </c>
      <c r="E8" s="31">
        <v>70.56324418946924</v>
      </c>
      <c r="F8" s="31">
        <v>72.63436731864658</v>
      </c>
    </row>
    <row r="9" spans="1:6" x14ac:dyDescent="0.25">
      <c r="A9" s="30">
        <v>0.10564</v>
      </c>
      <c r="B9" s="31">
        <v>57.05907268641031</v>
      </c>
      <c r="C9" s="31">
        <v>57.71302706761676</v>
      </c>
      <c r="D9" s="31">
        <v>58.500286896729904</v>
      </c>
      <c r="E9" s="31">
        <v>59.44728768034151</v>
      </c>
      <c r="F9" s="31">
        <v>60.58794949655856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16232763000</v>
      </c>
      <c r="C5" s="18">
        <v>17724956000</v>
      </c>
      <c r="D5" s="18">
        <v>17596443000</v>
      </c>
      <c r="E5" s="18">
        <v>24696625000</v>
      </c>
      <c r="F5" s="6" t="s">
        <v>91</v>
      </c>
    </row>
    <row r="6" spans="1:6" x14ac:dyDescent="0.25">
      <c r="A6" t="s">
        <v>51</v>
      </c>
      <c r="B6" s="18">
        <v>794961000</v>
      </c>
      <c r="C6" s="18">
        <v>669141000</v>
      </c>
      <c r="D6" s="18">
        <v>514607000</v>
      </c>
      <c r="E6" s="18">
        <v>1266782000</v>
      </c>
      <c r="F6" s="6" t="s">
        <v>92</v>
      </c>
    </row>
    <row r="7" spans="1:6" x14ac:dyDescent="0.25">
      <c r="A7" t="s">
        <v>93</v>
      </c>
      <c r="B7" s="18">
        <v>102818000</v>
      </c>
      <c r="C7" s="18">
        <v>97160000</v>
      </c>
      <c r="D7" s="18">
        <v>98985000</v>
      </c>
      <c r="E7" s="18">
        <v>92776000</v>
      </c>
      <c r="F7" s="6" t="s">
        <v>94</v>
      </c>
    </row>
    <row r="8" spans="1:6" x14ac:dyDescent="0.25">
      <c r="A8" t="s">
        <v>95</v>
      </c>
      <c r="B8" s="18">
        <v>70543000</v>
      </c>
      <c r="C8" s="18">
        <v>74288000</v>
      </c>
      <c r="D8" s="18">
        <v>84111000</v>
      </c>
      <c r="E8" s="18">
        <v>128497000</v>
      </c>
      <c r="F8" s="6" t="s">
        <v>96</v>
      </c>
    </row>
    <row r="9" spans="1:6" x14ac:dyDescent="0.25">
      <c r="A9" t="s">
        <v>97</v>
      </c>
      <c r="B9" s="18">
        <v>-148745000</v>
      </c>
      <c r="C9" s="18">
        <v>109042000</v>
      </c>
      <c r="D9" s="18">
        <v>-281536000</v>
      </c>
      <c r="E9" s="18">
        <v>-609525000</v>
      </c>
      <c r="F9" s="6" t="s">
        <v>98</v>
      </c>
    </row>
    <row r="10" spans="1:6" x14ac:dyDescent="0.25">
      <c r="A10" t="s">
        <v>99</v>
      </c>
      <c r="B10" s="18">
        <v>1395386000</v>
      </c>
      <c r="C10" s="18">
        <v>1741132000</v>
      </c>
      <c r="D10" s="18">
        <v>1952501000</v>
      </c>
      <c r="E10" s="18">
        <v>2361168000</v>
      </c>
      <c r="F10" s="6" t="s">
        <v>100</v>
      </c>
    </row>
    <row r="11" spans="1:6" x14ac:dyDescent="0.25">
      <c r="A11" t="s">
        <v>101</v>
      </c>
      <c r="B11" s="18">
        <v>160871000</v>
      </c>
      <c r="C11" s="18">
        <v>145762000</v>
      </c>
      <c r="D11" s="18">
        <v>145524000</v>
      </c>
      <c r="E11" s="18">
        <v>217482000</v>
      </c>
      <c r="F11" s="6" t="s">
        <v>102</v>
      </c>
    </row>
    <row r="12" spans="1:6" x14ac:dyDescent="0.25">
      <c r="A12" t="s">
        <v>34</v>
      </c>
      <c r="B12" s="34">
        <v>121502000</v>
      </c>
      <c r="C12" s="34">
        <v>120679000</v>
      </c>
      <c r="D12" s="34">
        <v>119677000</v>
      </c>
      <c r="E12" s="34">
        <v>127150000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