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<sst xmlns="http://schemas.openxmlformats.org/spreadsheetml/2006/main" count="114" uniqueCount="102">
  <si>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C.H. Robinson Worldwide, Inc. (CHRW)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</si>
  <si>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</si>
  <si>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</si>
  <si>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</si>
  <si>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</si>
  <si>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</si>
  <si>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</si>
  <si>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</si>
  <si>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</si>
  <si>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</si>
  <si>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</si>
  <si>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</si>
  <si>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</si>
  <si>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</si>
  <si>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</si>
  <si>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</si>
  <si>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</si>
  <si>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</si>
  <si>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</si>
  <si>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</si>
  <si>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</si>
  <si>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</si>
  <si>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</si>
  <si>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</si>
  <si>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</si>
  <si>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</si>
  <si>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</si>
  <si>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</si>
  <si>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</si>
  <si>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</si>
  <si>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</si>
  <si>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</si>
  <si>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</si>
  <si>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</si>
  <si>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</si>
  <si>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</si>
  <si>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</si>
  <si>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</si>
  <si>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</si>
  <si>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</si>
  <si>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</si>
  <si>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</si>
  <si>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</si>
  <si>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</si>
  <si>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</si>
  <si>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</si>
  <si>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</si>
  <si>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</si>
  <si>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</si>
  <si>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</si>
  <si>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</si>
  <si>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</si>
  <si>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</si>
  <si>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</si>
  <si>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</si>
  <si>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</si>
  <si>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</si>
  <si>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</si>
  <si>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</si>
  <si>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</si>
  <si>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</si>
  <si>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</si>
  <si>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</si>
  <si>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</si>
  <si>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</si>
  <si>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</si>
  <si>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</si>
  <si>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</si>
  <si>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</si>
  <si>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</si>
  <si>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</si>
  <si>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</si>
  <si>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</si>
  <si>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</si>
  <si>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</si>
  <si>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</si>
  <si>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</si>
  <si>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</si>
  <si>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</si>
  <si>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</si>
  <si>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</si>
  <si>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</si>
  <si>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</si>
  <si>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</si>
  <si>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</si>
  <si>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</si>
  <si>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</si>
  <si>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</si>
  <si>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</si>
  <si>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</si>
  <si>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</si>
  <si>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</si>
  <si>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</si>
  <si>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</si>
  <si>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</si>
  <si>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</si>
  <si>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</si>
  <si>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</si>
  <si>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</si>
  <si>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</si>
  <si>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Current EV/EBITDA of 21.3x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</si>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</sst>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-0.13053598256384413</v>
      </c>
    </row>
    <row r="7" spans="1:2" x14ac:dyDescent="0.25">
      <c r="A7" t="s">
        <v>5</v>
      </c>
      <c r="B7" s="6">
        <v>0.04181566175948606</v>
      </c>
    </row>
    <row r="8" spans="1:2" x14ac:dyDescent="0.25">
      <c r="A8" t="s">
        <v>6</v>
      </c>
      <c r="B8" s="6">
        <v>0.19494363815619692</v>
      </c>
    </row>
    <row r="9" spans="1:2" x14ac:dyDescent="0.25">
      <c r="A9" t="s">
        <v>7</v>
      </c>
      <c r="B9" s="6">
        <v>0.0052993570972444115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0.09968214567418558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0.1959187251541087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0.9618099999999999</v>
      </c>
      <c r="C19" s="8" t="s">
        <v>19</v>
      </c>
    </row>
    <row r="20" spans="1:2" x14ac:dyDescent="0.25">
      <c r="A20" t="s">
        <v>20</v>
      </c>
      <c r="B20" s="10">
        <f>B17+B19*B18</f>
        <v>0.10287955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17877073920</v>
      </c>
    </row>
    <row r="23" spans="1:2" x14ac:dyDescent="0.25">
      <c r="A23" t="s">
        <v>24</v>
      </c>
      <c r="B23" s="11">
        <v>1395386000</v>
      </c>
    </row>
    <row r="24" spans="1:2" x14ac:dyDescent="0.25">
      <c r="A24" t="s">
        <v>25</v>
      </c>
      <c r="B24" s="10">
        <f>B22/(B22+B23)</f>
        <v>0.9275968918450344</v>
      </c>
    </row>
    <row r="25" spans="1:2" x14ac:dyDescent="0.25">
      <c r="A25" t="s">
        <v>26</v>
      </c>
      <c r="B25" s="10">
        <f>1-B24</f>
        <v>0.07240310815496565</v>
      </c>
    </row>
    <row r="26" spans="1:2" x14ac:dyDescent="0.25">
      <c r="A26" t="s">
        <v>27</v>
      </c>
      <c r="B26" s="12">
        <f>B24*B20+B25*B21*(1-B8)</f>
        <v>0.09834401418463005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16232763000</v>
      </c>
      <c r="C29" s="8" t="s">
        <v>30</v>
      </c>
    </row>
    <row r="30" spans="1:2" x14ac:dyDescent="0.25">
      <c r="A30" t="s">
        <v>31</v>
      </c>
      <c r="B30" s="11">
        <v>1234515000</v>
      </c>
    </row>
    <row r="31" spans="1:2" x14ac:dyDescent="0.25">
      <c r="A31" t="s">
        <v>32</v>
      </c>
      <c r="B31" s="13">
        <v>121502000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-0.13053598256384413</v>
      </c>
      <c r="C5" s="10">
        <f>Assumptions!B6</f>
        <v>-0.13053598256384413</v>
      </c>
      <c r="D5" s="10">
        <f>Assumptions!B6</f>
        <v>-0.13053598256384413</v>
      </c>
      <c r="E5" s="10">
        <f>Assumptions!B6</f>
        <v>-0.13053598256384413</v>
      </c>
      <c r="F5" s="10">
        <f>Assumptions!B6</f>
        <v>-0.13053598256384413</v>
      </c>
    </row>
    <row r="6" spans="1:6" x14ac:dyDescent="0.25">
      <c r="A6" t="s">
        <v>43</v>
      </c>
      <c r="B6" s="18">
        <f>Assumptions!B29*(1+B5)</f>
        <v>14113803332.068985</v>
      </c>
      <c r="C6" s="18">
        <f>B6*(1+C5)</f>
        <v>12271444146.404503</v>
      </c>
      <c r="D6" s="18">
        <f>C6*(1+D5)</f>
        <v>10669579127.276258</v>
      </c>
      <c r="E6" s="18">
        <f>D6*(1+E5)</f>
        <v>9276815132.35457</v>
      </c>
      <c r="F6" s="18">
        <f>E6*(1+F5)</f>
        <v>8065856953.989529</v>
      </c>
    </row>
    <row r="7" spans="1:6" x14ac:dyDescent="0.25">
      <c r="A7" t="s">
        <v>5</v>
      </c>
      <c r="B7" s="10">
        <f>Assumptions!B7</f>
        <v>0.04181566175948606</v>
      </c>
      <c r="C7" s="10">
        <f>Assumptions!B7</f>
        <v>0.04181566175948606</v>
      </c>
      <c r="D7" s="10">
        <f>Assumptions!B7</f>
        <v>0.04181566175948606</v>
      </c>
      <c r="E7" s="10">
        <f>Assumptions!B7</f>
        <v>0.04181566175948606</v>
      </c>
      <c r="F7" s="10">
        <f>Assumptions!B7</f>
        <v>0.04181566175948606</v>
      </c>
    </row>
    <row r="8" spans="1:6" x14ac:dyDescent="0.25">
      <c r="A8" t="s">
        <v>44</v>
      </c>
      <c r="B8" s="18">
        <f>B6*B7</f>
        <v>590178026.273704</v>
      </c>
      <c r="C8" s="18">
        <f>C6*C7</f>
        <v>513138557.72647583</v>
      </c>
      <c r="D8" s="18">
        <f>D6*D7</f>
        <v>446155511.9022565</v>
      </c>
      <c r="E8" s="18">
        <f>E6*E7</f>
        <v>387916163.7798206</v>
      </c>
      <c r="F8" s="18">
        <f>F6*F7</f>
        <v>337279146.18842465</v>
      </c>
    </row>
    <row r="9" spans="1:6" x14ac:dyDescent="0.25">
      <c r="A9" t="s">
        <v>45</v>
      </c>
      <c r="B9" s="18">
        <f>B8*(1-Assumptions!B8)</f>
        <v>475126574.67206466</v>
      </c>
      <c r="C9" s="18">
        <f>C8*(1-Assumptions!B8)</f>
        <v>413105460.405053</v>
      </c>
      <c r="D9" s="18">
        <f>D8*(1-Assumptions!B8)</f>
        <v>359180333.2285902</v>
      </c>
      <c r="E9" s="18">
        <f>E8*(1-Assumptions!B8)</f>
        <v>312294375.51298726</v>
      </c>
      <c r="F9" s="18">
        <f>F8*(1-Assumptions!B8)</f>
        <v>271528722.35623735</v>
      </c>
    </row>
    <row r="10" spans="1:6" x14ac:dyDescent="0.25">
      <c r="A10" t="s">
        <v>46</v>
      </c>
      <c r="B10" s="18">
        <f>B6*Assumptions!B9</f>
        <v>74794083.8569116</v>
      </c>
      <c r="C10" s="18">
        <f>C6*Assumptions!B9</f>
        <v>65030764.63068709</v>
      </c>
      <c r="D10" s="18">
        <f>D6*Assumptions!B9</f>
        <v>56541909.87274227</v>
      </c>
      <c r="E10" s="18">
        <f>E6*Assumptions!B9</f>
        <v>49161156.11146755</v>
      </c>
      <c r="F10" s="18">
        <f>F6*Assumptions!B9</f>
        <v>42743856.294482596</v>
      </c>
    </row>
    <row r="11" spans="1:6" x14ac:dyDescent="0.25">
      <c r="A11" t="s">
        <v>47</v>
      </c>
      <c r="B11" s="18">
        <f>-B6*Assumptions!B10</f>
        <v>-141138033.32068986</v>
      </c>
      <c r="C11" s="18">
        <f>-C6*Assumptions!B10</f>
        <v>-122714441.46404503</v>
      </c>
      <c r="D11" s="18">
        <f>-D6*Assumptions!B10</f>
        <v>-106695791.27276258</v>
      </c>
      <c r="E11" s="18">
        <f>-E6*Assumptions!B10</f>
        <v>-92768151.32354571</v>
      </c>
      <c r="F11" s="18">
        <f>-F6*Assumptions!B10</f>
        <v>-80658569.53989528</v>
      </c>
    </row>
    <row r="12" spans="1:6" x14ac:dyDescent="0.25">
      <c r="A12" t="s">
        <v>48</v>
      </c>
      <c r="B12" s="18">
        <f>-(B6-Assumptions!B29)*Assumptions!B11</f>
        <v>211222446.29642335</v>
      </c>
      <c r="C12" s="18">
        <f>-(C6-B6)*Assumptions!B11</f>
        <v>183650316.72958082</v>
      </c>
      <c r="D12" s="18">
        <f>-(D6-C6)*Assumptions!B11</f>
        <v>159677342.18712375</v>
      </c>
      <c r="E12" s="18">
        <f>-(E6-D6)*Assumptions!B11</f>
        <v>138833703.4315444</v>
      </c>
      <c r="F12" s="18">
        <f>-(F6-E6)*Assumptions!B11</f>
        <v>120710909.5411305</v>
      </c>
    </row>
    <row r="13" spans="1:6" x14ac:dyDescent="0.25">
      <c r="A13" s="19" t="s">
        <v>49</v>
      </c>
      <c r="B13" s="20">
        <f>B9+B10+B11+B12</f>
        <v>620005071.5047097</v>
      </c>
      <c r="C13" s="20">
        <f>C9+C10+C11+C12</f>
        <v>539072100.301276</v>
      </c>
      <c r="D13" s="20">
        <f>D9+D10+D11+D12</f>
        <v>468703794.01569366</v>
      </c>
      <c r="E13" s="20">
        <f>E9+E10+E11+E12</f>
        <v>407521083.73245347</v>
      </c>
      <c r="F13" s="20">
        <f>F9+F10+F11+F12</f>
        <v>354324918.6519551</v>
      </c>
    </row>
    <row r="14" spans="1:6" x14ac:dyDescent="0.25">
      <c r="A14" t="s">
        <v>50</v>
      </c>
      <c r="B14" s="21">
        <f>1/(1+Assumptions!$B$26)^(1-0.5*Assumptions!$B$32)</f>
        <v>0.9541810917420747</v>
      </c>
      <c r="C14" s="21">
        <f>1/(1+Assumptions!$B$26)^(2-0.5*Assumptions!$B$32)</f>
        <v>0.8687452013387841</v>
      </c>
      <c r="D14" s="21">
        <f>1/(1+Assumptions!$B$26)^(3-0.5*Assumptions!$B$32)</f>
        <v>0.7909591076377909</v>
      </c>
      <c r="E14" s="21">
        <f>1/(1+Assumptions!$B$26)^(4-0.5*Assumptions!$B$32)</f>
        <v>0.7201378597442164</v>
      </c>
      <c r="F14" s="21">
        <f>1/(1+Assumptions!$B$26)^(5-0.5*Assumptions!$B$32)</f>
        <v>0.655657836200637</v>
      </c>
    </row>
    <row r="15" spans="1:6" x14ac:dyDescent="0.25">
      <c r="A15" s="19" t="s">
        <v>51</v>
      </c>
      <c r="B15" s="20">
        <f>B13*B14</f>
        <v>591597116.013987</v>
      </c>
      <c r="C15" s="20">
        <f>C13*C14</f>
        <v>468316300.3123532</v>
      </c>
      <c r="D15" s="20">
        <f>D13*D14</f>
        <v>370725534.66110003</v>
      </c>
      <c r="E15" s="20">
        <f>E13*E14</f>
        <v>293471361.03973264</v>
      </c>
      <c r="F15" s="20">
        <f>F13*F14</f>
        <v>232315909.4753076</v>
      </c>
    </row>
    <row r="17" spans="1:2" x14ac:dyDescent="0.25">
      <c r="A17" s="22" t="s">
        <v>52</v>
      </c>
      <c r="B17" s="23">
        <f>SUM(B15:F15)</f>
        <v>1956426221.5024805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354324918.6519551</v>
      </c>
    </row>
    <row r="5" spans="1:2" x14ac:dyDescent="0.25">
      <c r="A5" t="s">
        <v>56</v>
      </c>
      <c r="B5" s="18">
        <f>IF(Assumptions!$B$33=0,B4,B4-Forecast!F11-Forecast!F10-Forecast!F12)</f>
        <v>293238671.0878191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0.12760393362265463</v>
      </c>
    </row>
    <row r="7" spans="1:2" x14ac:dyDescent="0.25">
      <c r="A7" t="s">
        <v>58</v>
      </c>
      <c r="B7" s="18">
        <f>-MAX(Forecast!F9,0)*B6</f>
        <v>-37418407.92108552</v>
      </c>
    </row>
    <row r="8" spans="1:2" x14ac:dyDescent="0.25">
      <c r="A8" t="s">
        <v>59</v>
      </c>
      <c r="B8" s="18">
        <f>IF(OR(Assumptions!$B$33=0,Assumptions!B12&lt;=0),B5,MAX(B5+B7,0))</f>
        <v>255820263.16673356</v>
      </c>
    </row>
    <row r="9" spans="1:2" x14ac:dyDescent="0.25">
      <c r="A9" t="s">
        <v>60</v>
      </c>
      <c r="B9" s="18">
        <f>B8*(1+Assumptions!B12)/(Assumptions!B26-Assumptions!B12)</f>
        <v>3575148874.2601676</v>
      </c>
    </row>
    <row r="10" spans="1:2" x14ac:dyDescent="0.25">
      <c r="A10" t="s">
        <v>61</v>
      </c>
      <c r="B10" s="18">
        <f>B9/(1+Assumptions!B26)^(5-0.5*Assumptions!B32)</f>
        <v>2344074374.9925647</v>
      </c>
    </row>
    <row r="11" spans="1:2" x14ac:dyDescent="0.25">
      <c r="A11" t="s">
        <v>62</v>
      </c>
      <c r="B11" s="18">
        <f>Forecast!B17+B10</f>
        <v>4300500596.495045</v>
      </c>
    </row>
    <row r="12" spans="1:2" x14ac:dyDescent="0.25">
      <c r="A12" t="s">
        <v>63</v>
      </c>
      <c r="B12" s="18">
        <f>-Assumptions!B30</f>
        <v>-1234515000</v>
      </c>
    </row>
    <row r="13" spans="1:2" x14ac:dyDescent="0.25">
      <c r="A13" t="s">
        <v>64</v>
      </c>
      <c r="B13" s="18">
        <f>B11+B12</f>
        <v>3065985596.4950447</v>
      </c>
    </row>
    <row r="14" spans="1:2" x14ac:dyDescent="0.25">
      <c r="A14" s="19" t="s">
        <v>65</v>
      </c>
      <c r="B14" s="24">
        <f>B13/Assumptions!B31</f>
        <v>25.234033978823764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380023002.48290724</v>
      </c>
    </row>
    <row r="18" spans="1:2" x14ac:dyDescent="0.25">
      <c r="A18" t="s">
        <v>60</v>
      </c>
      <c r="B18" s="18">
        <f>B17*Assumptions!B13</f>
        <v>7600460049.658145</v>
      </c>
    </row>
    <row r="19" spans="1:2" x14ac:dyDescent="0.25">
      <c r="A19" t="s">
        <v>61</v>
      </c>
      <c r="B19" s="18">
        <f>B18/(1+Assumptions!B26)^(5-0.5*Assumptions!B32)</f>
        <v>4983301190.288245</v>
      </c>
    </row>
    <row r="20" spans="1:2" x14ac:dyDescent="0.25">
      <c r="A20" t="s">
        <v>62</v>
      </c>
      <c r="B20" s="18">
        <f>Forecast!B17+B19</f>
        <v>6939727411.790726</v>
      </c>
    </row>
    <row r="21" spans="1:2" x14ac:dyDescent="0.25">
      <c r="A21" t="s">
        <v>63</v>
      </c>
      <c r="B21" s="18">
        <f>-Assumptions!B30</f>
        <v>-1234515000</v>
      </c>
    </row>
    <row r="22" spans="1:2" x14ac:dyDescent="0.25">
      <c r="A22" t="s">
        <v>64</v>
      </c>
      <c r="B22" s="18">
        <f>B20+B21</f>
        <v>5705212411.790726</v>
      </c>
    </row>
    <row r="23" spans="1:2" x14ac:dyDescent="0.25">
      <c r="A23" s="19" t="s">
        <v>65</v>
      </c>
      <c r="B23" s="25">
        <f>B22/Assumptions!B31</f>
        <v>46.95570782201713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152.99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25.234033978823764</v>
      </c>
    </row>
    <row r="29" spans="1:2" x14ac:dyDescent="0.25">
      <c r="A29" s="19" t="s">
        <v>73</v>
      </c>
      <c r="B29" s="12">
        <f>B28/B26-1</f>
        <v>-0.8350608930072307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0.078344</v>
      </c>
      <c r="B5" s="31">
        <v>31.99600456727182</v>
      </c>
      <c r="C5" s="31">
        <v>33.544721213906755</v>
      </c>
      <c r="D5" s="31">
        <v>35.37554101433616</v>
      </c>
      <c r="E5" s="31">
        <v>37.575993906234174</v>
      </c>
      <c r="F5" s="31">
        <v>40.27399831826517</v>
      </c>
    </row>
    <row r="6" spans="1:6" x14ac:dyDescent="0.25">
      <c r="A6" s="30">
        <v>0.088344</v>
      </c>
      <c r="B6" s="31">
        <v>27.318274790045905</v>
      </c>
      <c r="C6" s="31">
        <v>28.343224234521685</v>
      </c>
      <c r="D6" s="31">
        <v>29.523337331477936</v>
      </c>
      <c r="E6" s="31">
        <v>30.898506011313806</v>
      </c>
      <c r="F6" s="31">
        <v>32.52357868703157</v>
      </c>
    </row>
    <row r="7" spans="1:6" x14ac:dyDescent="0.25">
      <c r="A7" s="30">
        <v>0.098344</v>
      </c>
      <c r="B7" s="31">
        <v>23.737229930801387</v>
      </c>
      <c r="C7" s="31">
        <v>24.440447937203754</v>
      </c>
      <c r="D7" s="32">
        <v>25.23403925606973</v>
      </c>
      <c r="E7" s="31">
        <v>26.13783883541165</v>
      </c>
      <c r="F7" s="31">
        <v>27.177944236279313</v>
      </c>
    </row>
    <row r="8" spans="1:6" x14ac:dyDescent="0.25">
      <c r="A8" s="30">
        <v>0.108344</v>
      </c>
      <c r="B8" s="31">
        <v>20.901507545367725</v>
      </c>
      <c r="C8" s="31">
        <v>21.396615110582623</v>
      </c>
      <c r="D8" s="31">
        <v>21.946476169953673</v>
      </c>
      <c r="E8" s="31">
        <v>22.56157400761679</v>
      </c>
      <c r="F8" s="31">
        <v>23.255250569394114</v>
      </c>
    </row>
    <row r="9" spans="1:6" x14ac:dyDescent="0.25">
      <c r="A9" s="30">
        <v>0.118344</v>
      </c>
      <c r="B9" s="31">
        <v>18.595683254405877</v>
      </c>
      <c r="C9" s="31">
        <v>18.950754927522876</v>
      </c>
      <c r="D9" s="31">
        <v>19.33987671964954</v>
      </c>
      <c r="E9" s="31">
        <v>19.768830028335735</v>
      </c>
      <c r="F9" s="31">
        <v>20.24478360896148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16232763000</v>
      </c>
      <c r="C5" s="18">
        <v>17724956000</v>
      </c>
      <c r="D5" s="18">
        <v>17596443000</v>
      </c>
      <c r="E5" s="18">
        <v>24696625000</v>
      </c>
      <c r="F5" s="8" t="s">
        <v>84</v>
      </c>
    </row>
    <row r="6" spans="1:6" x14ac:dyDescent="0.25">
      <c r="A6" t="s">
        <v>44</v>
      </c>
      <c r="B6" s="18">
        <v>794961000</v>
      </c>
      <c r="C6" s="18">
        <v>669141000</v>
      </c>
      <c r="D6" s="18">
        <v>514607000</v>
      </c>
      <c r="E6" s="18">
        <v>1266782000</v>
      </c>
      <c r="F6" s="8" t="s">
        <v>85</v>
      </c>
    </row>
    <row r="7" spans="1:6" x14ac:dyDescent="0.25">
      <c r="A7" t="s">
        <v>86</v>
      </c>
      <c r="B7" s="18">
        <v>102818000</v>
      </c>
      <c r="C7" s="18">
        <v>97160000</v>
      </c>
      <c r="D7" s="18">
        <v>98985000</v>
      </c>
      <c r="E7" s="18">
        <v>92776000</v>
      </c>
      <c r="F7" s="8" t="s">
        <v>87</v>
      </c>
    </row>
    <row r="8" spans="1:6" x14ac:dyDescent="0.25">
      <c r="A8" t="s">
        <v>88</v>
      </c>
      <c r="B8" s="18">
        <v>70543000</v>
      </c>
      <c r="C8" s="18">
        <v>74288000</v>
      </c>
      <c r="D8" s="18">
        <v>84111000</v>
      </c>
      <c r="E8" s="18">
        <v>128497000</v>
      </c>
      <c r="F8" s="8" t="s">
        <v>89</v>
      </c>
    </row>
    <row r="9" spans="1:6" x14ac:dyDescent="0.25">
      <c r="A9" t="s">
        <v>90</v>
      </c>
      <c r="B9" s="18">
        <v>-148745000</v>
      </c>
      <c r="C9" s="18">
        <v>109042000</v>
      </c>
      <c r="D9" s="18">
        <v>-281536000</v>
      </c>
      <c r="E9" s="18">
        <v>-609525000</v>
      </c>
      <c r="F9" s="8" t="s">
        <v>91</v>
      </c>
    </row>
    <row r="10" spans="1:6" x14ac:dyDescent="0.25">
      <c r="A10" t="s">
        <v>92</v>
      </c>
      <c r="B10" s="18">
        <v>1395386000</v>
      </c>
      <c r="C10" s="18">
        <v>1741132000</v>
      </c>
      <c r="D10" s="18">
        <v>1952501000</v>
      </c>
      <c r="E10" s="18">
        <v>2361168000</v>
      </c>
      <c r="F10" s="8" t="s">
        <v>93</v>
      </c>
    </row>
    <row r="11" spans="1:6" x14ac:dyDescent="0.25">
      <c r="A11" t="s">
        <v>94</v>
      </c>
      <c r="B11" s="18">
        <v>160871000</v>
      </c>
      <c r="C11" s="18">
        <v>145762000</v>
      </c>
      <c r="D11" s="18">
        <v>145524000</v>
      </c>
      <c r="E11" s="18">
        <v>217482000</v>
      </c>
      <c r="F11" s="8" t="s">
        <v>95</v>
      </c>
    </row>
    <row r="12" spans="1:6" x14ac:dyDescent="0.25">
      <c r="A12" t="s">
        <v>32</v>
      </c>
      <c r="B12" s="34">
        <v>121502000</v>
      </c>
      <c r="C12" s="34">
        <v>120679000</v>
      </c>
      <c r="D12" s="34">
        <v>119677000</v>
      </c>
      <c r="E12" s="34">
        <v>127150000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