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<sst xmlns="http://schemas.openxmlformats.org/spreadsheetml/2006/main" count="121" uniqueCount="108">
  <si>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Charter Communications, Inc. (CHTR)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</si>
  <si>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</si>
  <si>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</si>
  <si>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</si>
  <si>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</si>
  <si>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</si>
  <si>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</si>
  <si>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</si>
  <si>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</si>
  <si>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</si>
  <si>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</si>
  <si>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</si>
  <si>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</si>
  <si>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</si>
  <si>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</si>
  <si>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</si>
  <si>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</si>
  <si>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</si>
  <si>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</si>
  <si>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</si>
  <si>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</si>
  <si>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</si>
  <si>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</si>
  <si>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</si>
  <si>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+ 111bp, the spread for a BBB rating at 2.6x interest cover. Book interest / average debt was lower, at 5.2%.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</si>
  <si>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</si>
  <si>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</si>
  <si>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</si>
  <si>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</si>
  <si>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</si>
  <si>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</si>
  <si>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</si>
  <si>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</si>
  <si>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</si>
  <si>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</si>
  <si>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</si>
  <si>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</si>
  <si>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</si>
  <si>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</si>
  <si>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</si>
  <si>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</si>
  <si>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</si>
  <si>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</si>
  <si>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</si>
  <si>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</si>
  <si>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</si>
  <si>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</si>
  <si>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</si>
  <si>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</si>
  <si>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</si>
  <si>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</si>
  <si>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</si>
  <si>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</si>
  <si>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</si>
  <si>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</si>
  <si>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</si>
  <si>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</si>
  <si>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</si>
  <si>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</si>
  <si>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</si>
  <si>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</si>
  <si>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</si>
  <si>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</si>
  <si>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</si>
  <si>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</si>
  <si>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</si>
  <si>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</si>
  <si>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</si>
  <si>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</si>
  <si>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</si>
  <si>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</si>
  <si>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</si>
  <si>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</si>
  <si>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</si>
  <si>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</si>
  <si>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</si>
  <si>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</si>
  <si>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</si>
  <si>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</si>
  <si>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</si>
  <si>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</si>
  <si>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</si>
  <si>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</si>
  <si>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</si>
  <si>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</si>
  <si>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</si>
  <si>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</si>
  <si>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</si>
  <si>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</si>
  <si>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</si>
  <si>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</si>
  <si>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</si>
  <si>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</si>
  <si>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</si>
  <si>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</si>
  <si>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</si>
  <si>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</si>
  <si>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</si>
  <si>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</si>
  <si>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</si>
  <si>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</si>
  <si>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</si>
  <si>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</si>
  <si>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</si>
  <si>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</si>
  <si>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</si>
  <si>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21.9x the market price. A gap that size is a modelling failure rather than a view - most often an unusable beta, a currency or units mismatch, or a cashflow base that does not represent the business. Read the figures below as diagnostics, not as a call.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</si>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</sst>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0.0751859865994815</v>
      </c>
    </row>
    <row r="7" spans="1:2" x14ac:dyDescent="0.25">
      <c r="A7" t="s">
        <v>4</v>
      </c>
      <c r="B7" s="5">
        <v>0.2348372076180956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0.16013327525905022</v>
      </c>
    </row>
    <row r="10" spans="1:3" x14ac:dyDescent="0.25">
      <c r="A10" t="s">
        <v>7</v>
      </c>
      <c r="B10" s="5">
        <v>0.19863386657958226</v>
      </c>
      <c r="C10" s="6" t="s">
        <v>8</v>
      </c>
    </row>
    <row r="11" spans="1:2" x14ac:dyDescent="0.25">
      <c r="A11" t="s">
        <v>9</v>
      </c>
      <c r="B11" s="5">
        <v>0.03874743151996633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5.043475030088495</v>
      </c>
    </row>
    <row r="14" spans="1:3" x14ac:dyDescent="0.25">
      <c r="A14" t="s">
        <v>12</v>
      </c>
      <c r="B14" s="5">
        <v>0.09181687910057691</v>
      </c>
      <c r="C14" s="6" t="s">
        <v>13</v>
      </c>
    </row>
    <row r="15" spans="1:3" x14ac:dyDescent="0.25">
      <c r="A15" t="s">
        <v>14</v>
      </c>
      <c r="B15" s="5">
        <v>0.16013327525905022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0.79431</v>
      </c>
      <c r="C19" s="6" t="s">
        <v>21</v>
      </c>
    </row>
    <row r="20" spans="1:2" x14ac:dyDescent="0.25">
      <c r="A20" t="s">
        <v>22</v>
      </c>
      <c r="B20" s="9">
        <f>B17+B19*B18</f>
        <v>0.082539313</v>
      </c>
    </row>
    <row r="21" spans="1:3" x14ac:dyDescent="0.25">
      <c r="A21" t="s">
        <v>23</v>
      </c>
      <c r="B21" s="5">
        <v>0.06004</v>
      </c>
      <c r="C21" s="6" t="s">
        <v>24</v>
      </c>
    </row>
    <row r="22" spans="1:2" x14ac:dyDescent="0.25">
      <c r="A22" t="s">
        <v>25</v>
      </c>
      <c r="B22" s="10">
        <v>14488972288</v>
      </c>
    </row>
    <row r="23" spans="1:2" x14ac:dyDescent="0.25">
      <c r="A23" t="s">
        <v>26</v>
      </c>
      <c r="B23" s="10">
        <v>97121000000</v>
      </c>
    </row>
    <row r="24" spans="1:2" x14ac:dyDescent="0.25">
      <c r="A24" t="s">
        <v>27</v>
      </c>
      <c r="B24" s="9">
        <f>B22/(B22+B23)</f>
        <v>0.12981790059594714</v>
      </c>
    </row>
    <row r="25" spans="1:2" x14ac:dyDescent="0.25">
      <c r="A25" t="s">
        <v>28</v>
      </c>
      <c r="B25" s="9">
        <f>1-B24</f>
        <v>0.8701820994040529</v>
      </c>
    </row>
    <row r="26" spans="1:2" x14ac:dyDescent="0.25">
      <c r="A26" t="s">
        <v>29</v>
      </c>
      <c r="B26" s="11">
        <f>B24*B20+B25*B21*(1-B8)</f>
        <v>0.05198920959638505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54774000000</v>
      </c>
      <c r="C29" s="6" t="s">
        <v>32</v>
      </c>
    </row>
    <row r="30" spans="1:2" x14ac:dyDescent="0.25">
      <c r="A30" t="s">
        <v>33</v>
      </c>
      <c r="B30" s="10">
        <v>96644000000</v>
      </c>
    </row>
    <row r="31" spans="1:2" x14ac:dyDescent="0.25">
      <c r="A31" t="s">
        <v>34</v>
      </c>
      <c r="B31" s="12">
        <v>137743676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0.0751859865994815</v>
      </c>
      <c r="C5" s="5">
        <v>0.1149795675710994</v>
      </c>
      <c r="D5" s="5">
        <v>0.10373212162471197</v>
      </c>
      <c r="E5" s="5">
        <v>0.09248467567832455</v>
      </c>
      <c r="F5" s="5">
        <v>0.08123722973193712</v>
      </c>
      <c r="G5" s="5">
        <v>0.0699897837855497</v>
      </c>
      <c r="H5" s="5">
        <v>0.05874233783916227</v>
      </c>
      <c r="I5" s="5">
        <v>0.04749489189277484</v>
      </c>
      <c r="J5" s="5">
        <v>0.036247445946387416</v>
      </c>
      <c r="K5" s="5">
        <v>0.024999999999999994</v>
      </c>
    </row>
    <row r="6" spans="1:11" x14ac:dyDescent="0.25">
      <c r="A6" t="s">
        <v>50</v>
      </c>
      <c r="B6" s="18">
        <f>Assumptions!B29*(1+B5)</f>
        <v>58892237230</v>
      </c>
      <c r="C6" s="18">
        <f>B6*(1+C5)</f>
        <v>65663641200</v>
      </c>
      <c r="D6" s="18">
        <f>C6*(1+D5)</f>
        <v>72475070015.27985</v>
      </c>
      <c r="E6" s="18">
        <f>D6*(1+E5)</f>
        <v>79177903360.40688</v>
      </c>
      <c r="F6" s="18">
        <f>E6*(1+F5)</f>
        <v>85610096885.38936</v>
      </c>
      <c r="G6" s="18">
        <f>F6*(1+G5)</f>
        <v>91601929056.25772</v>
      </c>
      <c r="H6" s="18">
        <f>G6*(1+H5)</f>
        <v>96982840519.59938</v>
      </c>
      <c r="I6" s="18">
        <f>H6*(1+I5)</f>
        <v>101589030045.53198</v>
      </c>
      <c r="J6" s="18">
        <f>I6*(1+J5)</f>
        <v>105271372920.85333</v>
      </c>
      <c r="K6" s="18">
        <f>J6*(1+K5)</f>
        <v>107903157243.87465</v>
      </c>
    </row>
    <row r="7" spans="1:11" x14ac:dyDescent="0.25">
      <c r="A7" t="s">
        <v>4</v>
      </c>
      <c r="B7" s="9">
        <f>Assumptions!B7</f>
        <v>0.2348372076180956</v>
      </c>
      <c r="C7" s="9">
        <f>Assumptions!B7</f>
        <v>0.2348372076180956</v>
      </c>
      <c r="D7" s="9">
        <f>Assumptions!B7</f>
        <v>0.2348372076180956</v>
      </c>
      <c r="E7" s="9">
        <f>Assumptions!B7</f>
        <v>0.2348372076180956</v>
      </c>
      <c r="F7" s="9">
        <f>Assumptions!B7</f>
        <v>0.2348372076180956</v>
      </c>
      <c r="G7" s="9">
        <f>Assumptions!B7</f>
        <v>0.2348372076180956</v>
      </c>
      <c r="H7" s="9">
        <f>Assumptions!B7</f>
        <v>0.2348372076180956</v>
      </c>
      <c r="I7" s="9">
        <f>Assumptions!B7</f>
        <v>0.2348372076180956</v>
      </c>
      <c r="J7" s="9">
        <f>Assumptions!B7</f>
        <v>0.2348372076180956</v>
      </c>
      <c r="K7" s="9">
        <f>Assumptions!B7</f>
        <v>0.2348372076180956</v>
      </c>
    </row>
    <row r="8" spans="1:11" x14ac:dyDescent="0.25">
      <c r="A8" t="s">
        <v>51</v>
      </c>
      <c r="B8" s="18">
        <f>B6*B7</f>
        <v>13830088541.475649</v>
      </c>
      <c r="C8" s="18">
        <f>C6*C7</f>
        <v>15420266141.444536</v>
      </c>
      <c r="D8" s="18">
        <f>D6*D7</f>
        <v>17019843064.314287</v>
      </c>
      <c r="E8" s="18">
        <f>E6*E7</f>
        <v>18593917730.21338</v>
      </c>
      <c r="F8" s="18">
        <f>F6*F7</f>
        <v>20104436096.47946</v>
      </c>
      <c r="G8" s="18">
        <f>G6*G7</f>
        <v>21511541232.002457</v>
      </c>
      <c r="H8" s="18">
        <f>H6*H7</f>
        <v>22775179454.493813</v>
      </c>
      <c r="I8" s="18">
        <f>I6*I7</f>
        <v>23856884140.523544</v>
      </c>
      <c r="J8" s="18">
        <f>J6*J7</f>
        <v>24721635258.8564</v>
      </c>
      <c r="K8" s="18">
        <f>K6*K7</f>
        <v>25339676140.32781</v>
      </c>
    </row>
    <row r="9" spans="1:11" x14ac:dyDescent="0.25">
      <c r="A9" t="s">
        <v>52</v>
      </c>
      <c r="B9" s="18">
        <f>B8*(1-Assumptions!B8)</f>
        <v>10925769947.765762</v>
      </c>
      <c r="C9" s="18">
        <f>C8*(1-Assumptions!B8)</f>
        <v>12182010251.741184</v>
      </c>
      <c r="D9" s="18">
        <f>D8*(1-Assumptions!B8)</f>
        <v>13445676020.808287</v>
      </c>
      <c r="E9" s="18">
        <f>E8*(1-Assumptions!B8)</f>
        <v>14689195006.86857</v>
      </c>
      <c r="F9" s="18">
        <f>F8*(1-Assumptions!B8)</f>
        <v>15882504516.218775</v>
      </c>
      <c r="G9" s="18">
        <f>G8*(1-Assumptions!B8)</f>
        <v>16994117573.281942</v>
      </c>
      <c r="H9" s="18">
        <f>H8*(1-Assumptions!B8)</f>
        <v>17992391769.050114</v>
      </c>
      <c r="I9" s="18">
        <f>I8*(1-Assumptions!B8)</f>
        <v>18846938471.0136</v>
      </c>
      <c r="J9" s="18">
        <f>J8*(1-Assumptions!B8)</f>
        <v>19530091854.496555</v>
      </c>
      <c r="K9" s="18">
        <f>K8*(1-Assumptions!B8)</f>
        <v>20018344150.85897</v>
      </c>
    </row>
    <row r="10" spans="1:11" x14ac:dyDescent="0.25">
      <c r="A10" t="s">
        <v>53</v>
      </c>
      <c r="B10" s="18">
        <f>B6*Assumptions!B9</f>
        <v>9430606834.972876</v>
      </c>
      <c r="C10" s="18">
        <f>C6*Assumptions!B9</f>
        <v>10514933930.791111</v>
      </c>
      <c r="D10" s="18">
        <f>D6*Assumptions!B9</f>
        <v>11605670336.175745</v>
      </c>
      <c r="E10" s="18">
        <f>E6*Assumptions!B9</f>
        <v>12679016993.246511</v>
      </c>
      <c r="F10" s="18">
        <f>F6*Assumptions!B9</f>
        <v>13709025209.502012</v>
      </c>
      <c r="G10" s="18">
        <f>G6*Assumptions!B9</f>
        <v>14668516919.825708</v>
      </c>
      <c r="H10" s="18">
        <f>H6*Assumptions!B9</f>
        <v>15530179896.329576</v>
      </c>
      <c r="I10" s="18">
        <f>I6*Assumptions!B9</f>
        <v>16267784111.581097</v>
      </c>
      <c r="J10" s="18">
        <f>J6*Assumptions!B9</f>
        <v>16857449736.833132</v>
      </c>
      <c r="K10" s="18">
        <f>K6*Assumptions!B9</f>
        <v>17278885980.253956</v>
      </c>
    </row>
    <row r="11" spans="1:11" x14ac:dyDescent="0.25">
      <c r="A11" t="s">
        <v>54</v>
      </c>
      <c r="B11" s="18">
        <f>-B6*B19</f>
        <v>-11697992792.516928</v>
      </c>
      <c r="C11" s="18">
        <f>-C6*C19</f>
        <v>-13130672059.210102</v>
      </c>
      <c r="D11" s="18">
        <f>-D6*D19</f>
        <v>-14589485672.779602</v>
      </c>
      <c r="E11" s="18">
        <f>-E6*E19</f>
        <v>-16044477739.239222</v>
      </c>
      <c r="F11" s="18">
        <f>-F6*F19</f>
        <v>-17462160696.828484</v>
      </c>
      <c r="G11" s="18">
        <f>-G6*G19</f>
        <v>-18806605596.88678</v>
      </c>
      <c r="H11" s="18">
        <f>-H6*H19</f>
        <v>-20040804170.90458</v>
      </c>
      <c r="I11" s="18">
        <f>-I6*I19</f>
        <v>-21128243024.85139</v>
      </c>
      <c r="J11" s="18">
        <f>-J6*J19</f>
        <v>-22034606161.61206</v>
      </c>
      <c r="K11" s="18">
        <f>-K6*K19</f>
        <v>-22729502562.671967</v>
      </c>
    </row>
    <row r="12" spans="1:11" x14ac:dyDescent="0.25">
      <c r="A12" t="s">
        <v>55</v>
      </c>
      <c r="B12" s="18">
        <f>-(B6-Assumptions!B29)*Assumptions!B11</f>
        <v>-159571115.05240083</v>
      </c>
      <c r="C12" s="18">
        <f>-(C6-B6)*Assumptions!B11</f>
        <v>-262374511.62160316</v>
      </c>
      <c r="D12" s="18">
        <f>-(D6-C6)*Assumptions!B11</f>
        <v>-263925371.57318124</v>
      </c>
      <c r="E12" s="18">
        <f>-(E6-D6)*Assumptions!B11</f>
        <v>-259717576.03005645</v>
      </c>
      <c r="F12" s="18">
        <f>-(F6-E6)*Assumptions!B11</f>
        <v>-249230978.1324296</v>
      </c>
      <c r="G12" s="18">
        <f>-(G6-F6)*Assumptions!B11</f>
        <v>-232168106.71985307</v>
      </c>
      <c r="H12" s="18">
        <f>-(H6-G6)*Assumptions!B11</f>
        <v>-208496498.4408328</v>
      </c>
      <c r="I12" s="18">
        <f>-(I6-H6)*Assumptions!B11</f>
        <v>-178478013.22405967</v>
      </c>
      <c r="J12" s="18">
        <f>-(J6-I6)*Assumptions!B11</f>
        <v>-142681328.39454994</v>
      </c>
      <c r="K12" s="18">
        <f>-(K6-J6)*Assumptions!B11</f>
        <v>-101974882.83158942</v>
      </c>
    </row>
    <row r="13" spans="1:11" x14ac:dyDescent="0.25">
      <c r="A13" s="19" t="s">
        <v>56</v>
      </c>
      <c r="B13" s="20">
        <f>B9+B10+B11+B12</f>
        <v>8498812875.169312</v>
      </c>
      <c r="C13" s="20">
        <f>C9+C10+C11+C12</f>
        <v>9303897611.70059</v>
      </c>
      <c r="D13" s="20">
        <f>D9+D10+D11+D12</f>
        <v>10197935312.631248</v>
      </c>
      <c r="E13" s="20">
        <f>E9+E10+E11+E12</f>
        <v>11064016684.845804</v>
      </c>
      <c r="F13" s="20">
        <f>F9+F10+F11+F12</f>
        <v>11880138050.759874</v>
      </c>
      <c r="G13" s="20">
        <f>G9+G10+G11+G12</f>
        <v>12623860789.501019</v>
      </c>
      <c r="H13" s="20">
        <f>H9+H10+H11+H12</f>
        <v>13273270996.03428</v>
      </c>
      <c r="I13" s="20">
        <f>I9+I10+I11+I12</f>
        <v>13808001544.519245</v>
      </c>
      <c r="J13" s="20">
        <f>J9+J10+J11+J12</f>
        <v>14210254101.323078</v>
      </c>
      <c r="K13" s="20">
        <f>K9+K10+K11+K12</f>
        <v>14465752685.609375</v>
      </c>
    </row>
    <row r="14" spans="1:11" x14ac:dyDescent="0.25">
      <c r="A14" t="s">
        <v>57</v>
      </c>
      <c r="B14" s="21">
        <f>1/(1+Assumptions!$B$26)^(1-0.5*Assumptions!$B$32)</f>
        <v>0.9749769701593604</v>
      </c>
      <c r="C14" s="21">
        <f>1/(1+Assumptions!$B$26)^(2-0.5*Assumptions!$B$32)</f>
        <v>0.9267936983245562</v>
      </c>
      <c r="D14" s="21">
        <f>1/(1+Assumptions!$B$26)^(3-0.5*Assumptions!$B$32)</f>
        <v>0.8809916393345304</v>
      </c>
      <c r="E14" s="21">
        <f>1/(1+Assumptions!$B$26)^(4-0.5*Assumptions!$B$32)</f>
        <v>0.837453113870378</v>
      </c>
      <c r="F14" s="21">
        <f>1/(1+Assumptions!$B$26)^(5-0.5*Assumptions!$B$32)</f>
        <v>0.7960662583142678</v>
      </c>
      <c r="G14" s="21">
        <f>1/(1+Assumptions!$B$26)^(6-0.5*Assumptions!$B$32)</f>
        <v>0.7567247373380314</v>
      </c>
      <c r="H14" s="21">
        <f>1/(1+Assumptions!$B$26)^(7-0.5*Assumptions!$B$32)</f>
        <v>0.7193274706956003</v>
      </c>
      <c r="I14" s="21">
        <f>1/(1+Assumptions!$B$26)^(8-0.5*Assumptions!$B$32)</f>
        <v>0.6837783735173326</v>
      </c>
      <c r="J14" s="21">
        <f>1/(1+Assumptions!$B$26)^(9-0.5*Assumptions!$B$32)</f>
        <v>0.6499861094389711</v>
      </c>
      <c r="K14" s="21">
        <f>1/(1+Assumptions!$B$26)^(10-0.5*Assumptions!$B$32)</f>
        <v>0.6178638559309465</v>
      </c>
    </row>
    <row r="15" spans="1:11" x14ac:dyDescent="0.25">
      <c r="A15" s="19" t="s">
        <v>58</v>
      </c>
      <c r="B15" s="20">
        <f>B13*B14</f>
        <v>8286146826.983937</v>
      </c>
      <c r="C15" s="20">
        <f>C13*C14</f>
        <v>8622793676.380995</v>
      </c>
      <c r="D15" s="20">
        <f>D13*D14</f>
        <v>8984295748.9025</v>
      </c>
      <c r="E15" s="20">
        <f>E13*E14</f>
        <v>9265595224.637936</v>
      </c>
      <c r="F15" s="20">
        <f>F13*F14</f>
        <v>9457377046.325373</v>
      </c>
      <c r="G15" s="20">
        <f>G13*G14</f>
        <v>9552787740.127031</v>
      </c>
      <c r="H15" s="20">
        <f>H13*H14</f>
        <v>9547828453.43461</v>
      </c>
      <c r="I15" s="20">
        <f>I13*I14</f>
        <v>9441612837.636187</v>
      </c>
      <c r="J15" s="20">
        <f>J13*J14</f>
        <v>9236467777.45817</v>
      </c>
      <c r="K15" s="20">
        <f>K13*K14</f>
        <v>8937865733.274054</v>
      </c>
    </row>
    <row r="17" spans="1:2" x14ac:dyDescent="0.25">
      <c r="A17" s="22" t="s">
        <v>59</v>
      </c>
      <c r="B17" s="23">
        <f>SUM(B15:K15)</f>
        <v>91332771065.16078</v>
      </c>
    </row>
    <row r="19" spans="1:11" x14ac:dyDescent="0.25">
      <c r="A19" t="s">
        <v>7</v>
      </c>
      <c r="B19" s="9">
        <f>Assumptions!$B$10+($B$20-Assumptions!$B$10)*0/9</f>
        <v>0.19863386657958226</v>
      </c>
      <c r="C19" s="9">
        <f>Assumptions!$B$10+($B$20-Assumptions!$B$10)*1/9</f>
        <v>0.1999686861594587</v>
      </c>
      <c r="D19" s="9">
        <f>Assumptions!$B$10+($B$20-Assumptions!$B$10)*2/9</f>
        <v>0.20130350573933514</v>
      </c>
      <c r="E19" s="9">
        <f>Assumptions!$B$10+($B$20-Assumptions!$B$10)*3/9</f>
        <v>0.20263832531921155</v>
      </c>
      <c r="F19" s="9">
        <f>Assumptions!$B$10+($B$20-Assumptions!$B$10)*4/9</f>
        <v>0.203973144899088</v>
      </c>
      <c r="G19" s="9">
        <f>Assumptions!$B$10+($B$20-Assumptions!$B$10)*5/9</f>
        <v>0.20530796447896443</v>
      </c>
      <c r="H19" s="9">
        <f>Assumptions!$B$10+($B$20-Assumptions!$B$10)*6/9</f>
        <v>0.20664278405884087</v>
      </c>
      <c r="I19" s="9">
        <f>Assumptions!$B$10+($B$20-Assumptions!$B$10)*7/9</f>
        <v>0.20797760363871728</v>
      </c>
      <c r="J19" s="9">
        <f>Assumptions!$B$10+($B$20-Assumptions!$B$10)*8/9</f>
        <v>0.20931242321859372</v>
      </c>
      <c r="K19" s="9">
        <f>Assumptions!$B$10+($B$20-Assumptions!$B$10)*9/9</f>
        <v>0.21064724279847016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0.21064724279847016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14465752685.609375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20018344150.85897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0.2722810908505702</v>
      </c>
    </row>
    <row r="7" spans="1:2" x14ac:dyDescent="0.25">
      <c r="A7" t="s">
        <v>66</v>
      </c>
      <c r="B7" s="18">
        <f>-MAX(B5,0)*B6</f>
        <v>-5450616582.418012</v>
      </c>
    </row>
    <row r="8" spans="1:2" x14ac:dyDescent="0.25">
      <c r="A8" t="s">
        <v>67</v>
      </c>
      <c r="B8" s="18">
        <f>IF(OR(Assumptions!$B$33=0,Assumptions!B12&lt;=0),B5,MAX(B5+B7,0))</f>
        <v>14567727568.44096</v>
      </c>
    </row>
    <row r="9" spans="1:2" x14ac:dyDescent="0.25">
      <c r="A9" t="s">
        <v>68</v>
      </c>
      <c r="B9" s="18">
        <f>B8*(1+Assumptions!B12)/(Assumptions!B26-Assumptions!B12)</f>
        <v>553255207579.4015</v>
      </c>
    </row>
    <row r="10" spans="1:2" x14ac:dyDescent="0.25">
      <c r="A10" t="s">
        <v>69</v>
      </c>
      <c r="B10" s="18">
        <f>B9/(1+Assumptions!B26)^(10-0.5*Assumptions!B32)</f>
        <v>341836395868.88525</v>
      </c>
    </row>
    <row r="11" spans="1:2" x14ac:dyDescent="0.25">
      <c r="A11" t="s">
        <v>70</v>
      </c>
      <c r="B11" s="18">
        <f>Forecast!B17+B10</f>
        <v>433169166934.046</v>
      </c>
    </row>
    <row r="12" spans="1:2" x14ac:dyDescent="0.25">
      <c r="A12" t="s">
        <v>71</v>
      </c>
      <c r="B12" s="18">
        <f>-Assumptions!B30</f>
        <v>-96644000000</v>
      </c>
    </row>
    <row r="13" spans="1:2" x14ac:dyDescent="0.25">
      <c r="A13" t="s">
        <v>72</v>
      </c>
      <c r="B13" s="18">
        <f>B11+B12</f>
        <v>336525166934.046</v>
      </c>
    </row>
    <row r="14" spans="1:2" x14ac:dyDescent="0.25">
      <c r="A14" s="19" t="s">
        <v>73</v>
      </c>
      <c r="B14" s="24">
        <f>B13/Assumptions!B31</f>
        <v>2443.1260781369447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42618562120.581764</v>
      </c>
    </row>
    <row r="18" spans="1:2" x14ac:dyDescent="0.25">
      <c r="A18" t="s">
        <v>68</v>
      </c>
      <c r="B18" s="18">
        <f>B17*Assumptions!B13</f>
        <v>214945653873.4295</v>
      </c>
    </row>
    <row r="19" spans="1:2" x14ac:dyDescent="0.25">
      <c r="A19" t="s">
        <v>69</v>
      </c>
      <c r="B19" s="18">
        <f>B18/(1+Assumptions!B26)^(10-0.5*Assumptions!B32)</f>
        <v>132807150517.83574</v>
      </c>
    </row>
    <row r="20" spans="1:2" x14ac:dyDescent="0.25">
      <c r="A20" t="s">
        <v>70</v>
      </c>
      <c r="B20" s="18">
        <f>Forecast!B17+B19</f>
        <v>224139921582.99652</v>
      </c>
    </row>
    <row r="21" spans="1:2" x14ac:dyDescent="0.25">
      <c r="A21" t="s">
        <v>71</v>
      </c>
      <c r="B21" s="18">
        <f>-Assumptions!B30</f>
        <v>-96644000000</v>
      </c>
    </row>
    <row r="22" spans="1:2" x14ac:dyDescent="0.25">
      <c r="A22" t="s">
        <v>72</v>
      </c>
      <c r="B22" s="18">
        <f>B20+B21</f>
        <v>127495921582.99652</v>
      </c>
    </row>
    <row r="23" spans="1:2" x14ac:dyDescent="0.25">
      <c r="A23" s="19" t="s">
        <v>73</v>
      </c>
      <c r="B23" s="25">
        <f>B22/Assumptions!B31</f>
        <v>925.6027230099226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111.49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2443.1260781369447</v>
      </c>
    </row>
    <row r="29" spans="1:2" x14ac:dyDescent="0.25">
      <c r="A29" s="19" t="s">
        <v>81</v>
      </c>
      <c r="B29" s="11">
        <f>B28/B26-1</f>
        <v>20.913409975217014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0.031989</v>
      </c>
      <c r="B5" s="31">
        <v>5473.365155011818</v>
      </c>
      <c r="C5" s="31">
        <v>7229.54144243176</v>
      </c>
      <c r="D5" s="31">
        <v>11530.810814230997</v>
      </c>
      <c r="E5" s="31">
        <v>37570.93710434088</v>
      </c>
      <c r="F5" s="31" t="s">
        <v>84</v>
      </c>
    </row>
    <row r="6" spans="1:6" x14ac:dyDescent="0.25">
      <c r="A6" s="30">
        <v>0.041989</v>
      </c>
      <c r="B6" s="31">
        <v>3141.4991529658105</v>
      </c>
      <c r="C6" s="31">
        <v>3588.6661124634584</v>
      </c>
      <c r="D6" s="31">
        <v>4311.560285408512</v>
      </c>
      <c r="E6" s="31">
        <v>5655.156915917332</v>
      </c>
      <c r="F6" s="31">
        <v>8951.626108934348</v>
      </c>
    </row>
    <row r="7" spans="1:6" x14ac:dyDescent="0.25">
      <c r="A7" s="30">
        <v>0.051989</v>
      </c>
      <c r="B7" s="31">
        <v>2072.7720340963206</v>
      </c>
      <c r="C7" s="31">
        <v>2225.8834778118617</v>
      </c>
      <c r="D7" s="32">
        <v>2443.150718387344</v>
      </c>
      <c r="E7" s="31">
        <v>2768.3382268264113</v>
      </c>
      <c r="F7" s="31">
        <v>3296.731424163485</v>
      </c>
    </row>
    <row r="8" spans="1:6" x14ac:dyDescent="0.25">
      <c r="A8" s="30">
        <v>0.061989</v>
      </c>
      <c r="B8" s="31">
        <v>1460.6013403768939</v>
      </c>
      <c r="C8" s="31">
        <v>1513.4608945452158</v>
      </c>
      <c r="D8" s="31">
        <v>1585.7204542161796</v>
      </c>
      <c r="E8" s="31">
        <v>1686.4768990215232</v>
      </c>
      <c r="F8" s="31">
        <v>1831.568284354767</v>
      </c>
    </row>
    <row r="9" spans="1:6" x14ac:dyDescent="0.25">
      <c r="A9" s="30">
        <v>0.071989</v>
      </c>
      <c r="B9" s="31">
        <v>1064.5462803297344</v>
      </c>
      <c r="C9" s="31">
        <v>1076.039326094102</v>
      </c>
      <c r="D9" s="31">
        <v>1093.7749461998837</v>
      </c>
      <c r="E9" s="31">
        <v>1119.9832155505371</v>
      </c>
      <c r="F9" s="31">
        <v>1158.1000134256592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85</v>
      </c>
    </row>
    <row r="4" spans="1:6" x14ac:dyDescent="0.25">
      <c r="A4" s="16" t="s">
        <v>86</v>
      </c>
      <c r="B4" s="17" t="s">
        <v>87</v>
      </c>
      <c r="C4" s="17" t="s">
        <v>88</v>
      </c>
      <c r="D4" s="17" t="s">
        <v>89</v>
      </c>
      <c r="E4" s="17" t="s">
        <v>90</v>
      </c>
      <c r="F4" s="33" t="s">
        <v>91</v>
      </c>
    </row>
    <row r="5" spans="1:6" x14ac:dyDescent="0.25">
      <c r="A5" t="s">
        <v>50</v>
      </c>
      <c r="B5" s="18">
        <v>54774000000</v>
      </c>
      <c r="C5" s="18">
        <v>55085000000</v>
      </c>
      <c r="D5" s="18">
        <v>54607000000</v>
      </c>
      <c r="E5" s="18">
        <v>54022000000</v>
      </c>
      <c r="F5" s="6" t="s">
        <v>92</v>
      </c>
    </row>
    <row r="6" spans="1:6" x14ac:dyDescent="0.25">
      <c r="A6" t="s">
        <v>51</v>
      </c>
      <c r="B6" s="18">
        <v>13324000000</v>
      </c>
      <c r="C6" s="18">
        <v>13245000000</v>
      </c>
      <c r="D6" s="18">
        <v>12506000000</v>
      </c>
      <c r="E6" s="18">
        <v>12243000000</v>
      </c>
      <c r="F6" s="6" t="s">
        <v>93</v>
      </c>
    </row>
    <row r="7" spans="1:6" x14ac:dyDescent="0.25">
      <c r="A7" t="s">
        <v>94</v>
      </c>
      <c r="B7" s="18">
        <v>8711000000</v>
      </c>
      <c r="C7" s="18">
        <v>8673000000</v>
      </c>
      <c r="D7" s="18">
        <v>8696000000</v>
      </c>
      <c r="E7" s="18">
        <v>8903000000</v>
      </c>
      <c r="F7" s="6" t="s">
        <v>95</v>
      </c>
    </row>
    <row r="8" spans="1:6" x14ac:dyDescent="0.25">
      <c r="A8" t="s">
        <v>96</v>
      </c>
      <c r="B8" s="18">
        <v>11659000000</v>
      </c>
      <c r="C8" s="18">
        <v>11269000000</v>
      </c>
      <c r="D8" s="18">
        <v>11115000000</v>
      </c>
      <c r="E8" s="18">
        <v>9376000000</v>
      </c>
      <c r="F8" s="6" t="s">
        <v>97</v>
      </c>
    </row>
    <row r="9" spans="1:6" x14ac:dyDescent="0.25">
      <c r="A9" t="s">
        <v>98</v>
      </c>
      <c r="B9" s="18">
        <v>653000000</v>
      </c>
      <c r="C9" s="18">
        <v>1048000000</v>
      </c>
      <c r="D9" s="18">
        <v>447000000</v>
      </c>
      <c r="E9" s="18">
        <v>396000000</v>
      </c>
      <c r="F9" s="6" t="s">
        <v>99</v>
      </c>
    </row>
    <row r="10" spans="1:6" x14ac:dyDescent="0.25">
      <c r="A10" t="s">
        <v>100</v>
      </c>
      <c r="B10" s="18">
        <v>97121000000</v>
      </c>
      <c r="C10" s="18">
        <v>95763000000</v>
      </c>
      <c r="D10" s="18">
        <v>98202000000</v>
      </c>
      <c r="E10" s="18">
        <v>97603000000</v>
      </c>
      <c r="F10" s="6" t="s">
        <v>101</v>
      </c>
    </row>
    <row r="11" spans="1:6" x14ac:dyDescent="0.25">
      <c r="A11" t="s">
        <v>102</v>
      </c>
      <c r="B11" s="18">
        <v>477000000</v>
      </c>
      <c r="C11" s="18">
        <v>459000000</v>
      </c>
      <c r="D11" s="18">
        <v>709000000</v>
      </c>
      <c r="E11" s="18">
        <v>645000000</v>
      </c>
      <c r="F11" s="6" t="s">
        <v>103</v>
      </c>
    </row>
    <row r="12" spans="1:6" x14ac:dyDescent="0.25">
      <c r="A12" t="s">
        <v>34</v>
      </c>
      <c r="B12" s="34">
        <v>137743676</v>
      </c>
      <c r="C12" s="34">
        <v>145363771</v>
      </c>
      <c r="D12" s="34">
        <v>151966313</v>
      </c>
      <c r="E12" s="34">
        <v>164433596</v>
      </c>
      <c r="F12" s="6" t="s">
        <v>104</v>
      </c>
    </row>
    <row r="15" spans="1:1" x14ac:dyDescent="0.25">
      <c r="A15" s="19" t="s">
        <v>105</v>
      </c>
    </row>
    <row r="16" ht="54" customHeight="1" spans="1:6" x14ac:dyDescent="0.25">
      <c r="A16" s="35" t="s">
        <v>106</v>
      </c>
      <c r="B16" s="35"/>
      <c r="C16" s="35"/>
      <c r="D16" s="35"/>
      <c r="E16" s="35"/>
      <c r="F16" s="35"/>
    </row>
    <row r="18" spans="1:1" x14ac:dyDescent="0.25">
      <c r="A18" s="36" t="s">
        <v>107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