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<sst xmlns="http://schemas.openxmlformats.org/spreadsheetml/2006/main" count="114" uniqueCount="101">
  <si>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Charter Communications, Inc. (CHTR)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</si>
  <si>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</si>
  <si>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</si>
  <si>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</si>
  <si>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</si>
  <si>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</si>
  <si>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</si>
  <si>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</si>
  <si>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</si>
  <si>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</si>
  <si>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</si>
  <si>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</si>
  <si>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</si>
  <si>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</si>
  <si>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</si>
  <si>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</si>
  <si>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</si>
  <si>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</si>
  <si>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</si>
  <si>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</si>
  <si>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</si>
  <si>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</si>
  <si>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</si>
  <si>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</si>
  <si>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</si>
  <si>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</si>
  <si>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</si>
  <si>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</si>
  <si>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</si>
  <si>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</si>
  <si>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</si>
  <si>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</si>
  <si>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</si>
  <si>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</si>
  <si>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</si>
  <si>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</si>
  <si>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</si>
  <si>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</si>
  <si>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</si>
  <si>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</si>
  <si>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</si>
  <si>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</si>
  <si>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</si>
  <si>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</si>
  <si>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</si>
  <si>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</si>
  <si>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</si>
  <si>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</si>
  <si>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</si>
  <si>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</si>
  <si>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</si>
  <si>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</si>
  <si>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</si>
  <si>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</si>
  <si>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</si>
  <si>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</si>
  <si>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</si>
  <si>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</si>
  <si>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</si>
  <si>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</si>
  <si>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</si>
  <si>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</si>
  <si>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</si>
  <si>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</si>
  <si>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</si>
  <si>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</si>
  <si>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</si>
  <si>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</si>
  <si>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</si>
  <si>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</si>
  <si>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</si>
  <si>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</si>
  <si>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</si>
  <si>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</si>
  <si>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</si>
  <si>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</si>
  <si>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</si>
  <si>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</si>
  <si>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</si>
  <si>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</si>
  <si>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</si>
  <si>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</si>
  <si>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</si>
  <si>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</si>
  <si>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</si>
  <si>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</si>
  <si>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</si>
  <si>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</si>
  <si>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</si>
  <si>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</si>
  <si>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</si>
  <si>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</si>
  <si>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</si>
  <si>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</si>
  <si>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</si>
  <si>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</si>
  <si>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</si>
  <si>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</si>
  <si>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</si>
  <si>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11.3x the market price. A gap that size is a modelling failure rather than a view - most often an unusable beta, a currency or units mismatch, or a cashflow base that does not represent the business. Read the figures below as diagnostics, not as a call.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</si>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</sst>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0.0046187194908937634</v>
      </c>
    </row>
    <row r="7" spans="1:2" x14ac:dyDescent="0.25">
      <c r="A7" t="s">
        <v>5</v>
      </c>
      <c r="B7" s="6">
        <v>0.2348372076180956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0.16013327525905022</v>
      </c>
    </row>
    <row r="10" spans="1:2" x14ac:dyDescent="0.25">
      <c r="A10" t="s">
        <v>8</v>
      </c>
      <c r="B10" s="6">
        <v>0.19863386657958226</v>
      </c>
    </row>
    <row r="11" spans="1:2" x14ac:dyDescent="0.25">
      <c r="A11" t="s">
        <v>9</v>
      </c>
      <c r="B11" s="6">
        <v>0.764102564102564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5.141850038574995</v>
      </c>
    </row>
    <row r="14" spans="1:3" x14ac:dyDescent="0.25">
      <c r="A14" t="s">
        <v>12</v>
      </c>
      <c r="B14" s="6">
        <v>0.09181687910057691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0.79029</v>
      </c>
      <c r="C19" s="8" t="s">
        <v>19</v>
      </c>
    </row>
    <row r="20" spans="1:2" x14ac:dyDescent="0.25">
      <c r="A20" t="s">
        <v>20</v>
      </c>
      <c r="B20" s="10">
        <f>B17+B19*B18</f>
        <v>0.09344595</v>
      </c>
    </row>
    <row r="21" spans="1:3" x14ac:dyDescent="0.25">
      <c r="A21" t="s">
        <v>21</v>
      </c>
      <c r="B21" s="6">
        <v>0.052280126915659156</v>
      </c>
      <c r="C21" s="8" t="s">
        <v>22</v>
      </c>
    </row>
    <row r="22" spans="1:2" x14ac:dyDescent="0.25">
      <c r="A22" t="s">
        <v>23</v>
      </c>
      <c r="B22" s="11">
        <v>16656665600</v>
      </c>
    </row>
    <row r="23" spans="1:2" x14ac:dyDescent="0.25">
      <c r="A23" t="s">
        <v>24</v>
      </c>
      <c r="B23" s="11">
        <v>97121000000</v>
      </c>
    </row>
    <row r="24" spans="1:2" x14ac:dyDescent="0.25">
      <c r="A24" t="s">
        <v>25</v>
      </c>
      <c r="B24" s="10">
        <f>B22/(B22+B23)</f>
        <v>0.14639661933791687</v>
      </c>
    </row>
    <row r="25" spans="1:2" x14ac:dyDescent="0.25">
      <c r="A25" t="s">
        <v>26</v>
      </c>
      <c r="B25" s="10">
        <f>1-B24</f>
        <v>0.8536033806620831</v>
      </c>
    </row>
    <row r="26" spans="1:2" x14ac:dyDescent="0.25">
      <c r="A26" t="s">
        <v>27</v>
      </c>
      <c r="B26" s="12">
        <f>B24*B20+B25*B21*(1-B8)</f>
        <v>0.04893510070137305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54774000000</v>
      </c>
      <c r="C29" s="8" t="s">
        <v>30</v>
      </c>
    </row>
    <row r="30" spans="1:2" x14ac:dyDescent="0.25">
      <c r="A30" t="s">
        <v>31</v>
      </c>
      <c r="B30" s="11">
        <v>96644000000</v>
      </c>
    </row>
    <row r="31" spans="1:2" x14ac:dyDescent="0.25">
      <c r="A31" t="s">
        <v>32</v>
      </c>
      <c r="B31" s="13">
        <v>137743676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0.0046187194908937634</v>
      </c>
      <c r="C5" s="10">
        <f>Assumptions!B6</f>
        <v>0.0046187194908937634</v>
      </c>
      <c r="D5" s="10">
        <f>Assumptions!B6</f>
        <v>0.0046187194908937634</v>
      </c>
      <c r="E5" s="10">
        <f>Assumptions!B6</f>
        <v>0.0046187194908937634</v>
      </c>
      <c r="F5" s="10">
        <f>Assumptions!B6</f>
        <v>0.0046187194908937634</v>
      </c>
    </row>
    <row r="6" spans="1:6" x14ac:dyDescent="0.25">
      <c r="A6" t="s">
        <v>43</v>
      </c>
      <c r="B6" s="18">
        <f>Assumptions!B29*(1+B5)</f>
        <v>55026985741.39422</v>
      </c>
      <c r="C6" s="18">
        <f>B6*(1+C5)</f>
        <v>55281139952.96313</v>
      </c>
      <c r="D6" s="18">
        <f>C6*(1+D5)</f>
        <v>55536468031.5427</v>
      </c>
      <c r="E6" s="18">
        <f>D6*(1+E5)</f>
        <v>55792975398.895386</v>
      </c>
      <c r="F6" s="18">
        <f>E6*(1+F5)</f>
        <v>56050667501.82522</v>
      </c>
    </row>
    <row r="7" spans="1:6" x14ac:dyDescent="0.25">
      <c r="A7" t="s">
        <v>5</v>
      </c>
      <c r="B7" s="10">
        <f>Assumptions!B7</f>
        <v>0.2348372076180956</v>
      </c>
      <c r="C7" s="10">
        <f>Assumptions!B7</f>
        <v>0.2348372076180956</v>
      </c>
      <c r="D7" s="10">
        <f>Assumptions!B7</f>
        <v>0.2348372076180956</v>
      </c>
      <c r="E7" s="10">
        <f>Assumptions!B7</f>
        <v>0.2348372076180956</v>
      </c>
      <c r="F7" s="10">
        <f>Assumptions!B7</f>
        <v>0.2348372076180956</v>
      </c>
    </row>
    <row r="8" spans="1:6" x14ac:dyDescent="0.25">
      <c r="A8" t="s">
        <v>44</v>
      </c>
      <c r="B8" s="18">
        <f>B6*B7</f>
        <v>12922383675.14978</v>
      </c>
      <c r="C8" s="18">
        <f>C6*C7</f>
        <v>12982068540.499</v>
      </c>
      <c r="D8" s="18">
        <f>D6*D7</f>
        <v>13042029073.499123</v>
      </c>
      <c r="E8" s="18">
        <f>E6*E7</f>
        <v>13102266547.381695</v>
      </c>
      <c r="F8" s="18">
        <f>F6*F7</f>
        <v>13162782241.258972</v>
      </c>
    </row>
    <row r="9" spans="1:6" x14ac:dyDescent="0.25">
      <c r="A9" t="s">
        <v>45</v>
      </c>
      <c r="B9" s="18">
        <f>B8*(1-Assumptions!B8)</f>
        <v>10208683103.368326</v>
      </c>
      <c r="C9" s="18">
        <f>C8*(1-Assumptions!B8)</f>
        <v>10255834146.994211</v>
      </c>
      <c r="D9" s="18">
        <f>D8*(1-Assumptions!B8)</f>
        <v>10303202968.064308</v>
      </c>
      <c r="E9" s="18">
        <f>E8*(1-Assumptions!B8)</f>
        <v>10350790572.43154</v>
      </c>
      <c r="F9" s="18">
        <f>F8*(1-Assumptions!B8)</f>
        <v>10398597970.59459</v>
      </c>
    </row>
    <row r="10" spans="1:6" x14ac:dyDescent="0.25">
      <c r="A10" t="s">
        <v>46</v>
      </c>
      <c r="B10" s="18">
        <f>B6*Assumptions!B9</f>
        <v>8811651454.402512</v>
      </c>
      <c r="C10" s="18">
        <f>C6*Assumptions!B9</f>
        <v>8852350000.721922</v>
      </c>
      <c r="D10" s="18">
        <f>D6*Assumptions!B9</f>
        <v>8893236522.21047</v>
      </c>
      <c r="E10" s="18">
        <f>E6*Assumptions!B9</f>
        <v>8934311887.072731</v>
      </c>
      <c r="F10" s="18">
        <f>F6*Assumptions!B9</f>
        <v>8975576967.52328</v>
      </c>
    </row>
    <row r="11" spans="1:6" x14ac:dyDescent="0.25">
      <c r="A11" t="s">
        <v>47</v>
      </c>
      <c r="B11" s="18">
        <f>-B6*Assumptions!B10</f>
        <v>-10930222944.032675</v>
      </c>
      <c r="C11" s="18">
        <f>-C6*Assumptions!B10</f>
        <v>-10980706577.784092</v>
      </c>
      <c r="D11" s="18">
        <f>-D6*Assumptions!B10</f>
        <v>-11031423381.278688</v>
      </c>
      <c r="E11" s="18">
        <f>-E6*Assumptions!B10</f>
        <v>-11082374431.462101</v>
      </c>
      <c r="F11" s="18">
        <f>-F6*Assumptions!B10</f>
        <v>-11133560810.254078</v>
      </c>
    </row>
    <row r="12" spans="1:6" x14ac:dyDescent="0.25">
      <c r="A12" t="s">
        <v>48</v>
      </c>
      <c r="B12" s="18">
        <f>-(B6-Assumptions!B29)*Assumptions!B11</f>
        <v>-193307053.6807105</v>
      </c>
      <c r="C12" s="18">
        <f>-(C6-B6)*Assumptions!B11</f>
        <v>-194199884.7372687</v>
      </c>
      <c r="D12" s="18">
        <f>-(D6-C6)*Assumptions!B11</f>
        <v>-195096839.5300339</v>
      </c>
      <c r="E12" s="18">
        <f>-(E6-D6)*Assumptions!B11</f>
        <v>-195997937.1053842</v>
      </c>
      <c r="F12" s="18">
        <f>-(F6-E6)*Assumptions!B11</f>
        <v>-196903196.59766683</v>
      </c>
    </row>
    <row r="13" spans="1:6" x14ac:dyDescent="0.25">
      <c r="A13" s="19" t="s">
        <v>49</v>
      </c>
      <c r="B13" s="20">
        <f>B9+B10+B11+B12</f>
        <v>7896804560.05745</v>
      </c>
      <c r="C13" s="20">
        <f>C9+C10+C11+C12</f>
        <v>7933277685.194773</v>
      </c>
      <c r="D13" s="20">
        <f>D9+D10+D11+D12</f>
        <v>7969919269.466058</v>
      </c>
      <c r="E13" s="20">
        <f>E9+E10+E11+E12</f>
        <v>8006730090.936788</v>
      </c>
      <c r="F13" s="20">
        <f>F9+F10+F11+F12</f>
        <v>8043710931.266122</v>
      </c>
    </row>
    <row r="14" spans="1:6" x14ac:dyDescent="0.25">
      <c r="A14" t="s">
        <v>50</v>
      </c>
      <c r="B14" s="21">
        <f>1/(1+Assumptions!$B$26)^(1-0.5*Assumptions!$B$32)</f>
        <v>0.9763953236429533</v>
      </c>
      <c r="C14" s="21">
        <f>1/(1+Assumptions!$B$26)^(2-0.5*Assumptions!$B$32)</f>
        <v>0.9308443610954424</v>
      </c>
      <c r="D14" s="21">
        <f>1/(1+Assumptions!$B$26)^(3-0.5*Assumptions!$B$32)</f>
        <v>0.887418449886014</v>
      </c>
      <c r="E14" s="21">
        <f>1/(1+Assumptions!$B$26)^(4-0.5*Assumptions!$B$32)</f>
        <v>0.8460184517542025</v>
      </c>
      <c r="F14" s="21">
        <f>1/(1+Assumptions!$B$26)^(5-0.5*Assumptions!$B$32)</f>
        <v>0.8065498534547183</v>
      </c>
    </row>
    <row r="15" spans="1:6" x14ac:dyDescent="0.25">
      <c r="A15" s="19" t="s">
        <v>51</v>
      </c>
      <c r="B15" s="20">
        <f>B13*B14</f>
        <v>7710403044.162444</v>
      </c>
      <c r="C15" s="20">
        <f>C13*C14</f>
        <v>7384646798.2678585</v>
      </c>
      <c r="D15" s="20">
        <f>D13*D14</f>
        <v>7072653403.826242</v>
      </c>
      <c r="E15" s="20">
        <f>E13*E14</f>
        <v>6773841395.148127</v>
      </c>
      <c r="F15" s="20">
        <f>F13*F14</f>
        <v>6487653872.844807</v>
      </c>
    </row>
    <row r="17" spans="1:2" x14ac:dyDescent="0.25">
      <c r="A17" s="22" t="s">
        <v>52</v>
      </c>
      <c r="B17" s="23">
        <f>SUM(B15:F15)</f>
        <v>35429198514.24948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8043710931.266122</v>
      </c>
    </row>
    <row r="5" spans="1:2" x14ac:dyDescent="0.25">
      <c r="A5" t="s">
        <v>56</v>
      </c>
      <c r="B5" s="18">
        <f>IF(Assumptions!$B$33=0,B4,B4-Forecast!F11-Forecast!F10-Forecast!F12)</f>
        <v>10398597970.59459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0.2722810908505702</v>
      </c>
    </row>
    <row r="7" spans="1:2" x14ac:dyDescent="0.25">
      <c r="A7" t="s">
        <v>58</v>
      </c>
      <c r="B7" s="18">
        <f>-MAX(Forecast!F9,0)*B6</f>
        <v>-2831341598.75002</v>
      </c>
    </row>
    <row r="8" spans="1:2" x14ac:dyDescent="0.25">
      <c r="A8" t="s">
        <v>59</v>
      </c>
      <c r="B8" s="18">
        <f>IF(OR(Assumptions!$B$33=0,Assumptions!B12&lt;=0),B5,MAX(B5+B7,0))</f>
        <v>7567256371.844569</v>
      </c>
    </row>
    <row r="9" spans="1:2" x14ac:dyDescent="0.25">
      <c r="A9" t="s">
        <v>60</v>
      </c>
      <c r="B9" s="18">
        <f>B8*(1+Assumptions!B12)/(Assumptions!B26-Assumptions!B12)</f>
        <v>324061213609.0044</v>
      </c>
    </row>
    <row r="10" spans="1:2" x14ac:dyDescent="0.25">
      <c r="A10" t="s">
        <v>61</v>
      </c>
      <c r="B10" s="18">
        <f>B9/(1+Assumptions!B26)^(5-0.5*Assumptions!B32)</f>
        <v>261371524346.70065</v>
      </c>
    </row>
    <row r="11" spans="1:2" x14ac:dyDescent="0.25">
      <c r="A11" t="s">
        <v>62</v>
      </c>
      <c r="B11" s="18">
        <f>Forecast!B17+B10</f>
        <v>296800722860.95013</v>
      </c>
    </row>
    <row r="12" spans="1:2" x14ac:dyDescent="0.25">
      <c r="A12" t="s">
        <v>63</v>
      </c>
      <c r="B12" s="18">
        <f>-Assumptions!B30</f>
        <v>-96644000000</v>
      </c>
    </row>
    <row r="13" spans="1:2" x14ac:dyDescent="0.25">
      <c r="A13" t="s">
        <v>64</v>
      </c>
      <c r="B13" s="18">
        <f>B11+B12</f>
        <v>200156722860.95013</v>
      </c>
    </row>
    <row r="14" spans="1:2" x14ac:dyDescent="0.25">
      <c r="A14" s="19" t="s">
        <v>65</v>
      </c>
      <c r="B14" s="24">
        <f>B13/Assumptions!B31</f>
        <v>1453.1100713542023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22138359208.78225</v>
      </c>
    </row>
    <row r="18" spans="1:2" x14ac:dyDescent="0.25">
      <c r="A18" t="s">
        <v>60</v>
      </c>
      <c r="B18" s="18">
        <f>B17*Assumptions!B13</f>
        <v>113832123151.6641</v>
      </c>
    </row>
    <row r="19" spans="1:2" x14ac:dyDescent="0.25">
      <c r="A19" t="s">
        <v>61</v>
      </c>
      <c r="B19" s="18">
        <f>B18/(1+Assumptions!B26)^(5-0.5*Assumptions!B32)</f>
        <v>91811282246.41412</v>
      </c>
    </row>
    <row r="20" spans="1:2" x14ac:dyDescent="0.25">
      <c r="A20" t="s">
        <v>62</v>
      </c>
      <c r="B20" s="18">
        <f>Forecast!B17+B19</f>
        <v>127240480760.6636</v>
      </c>
    </row>
    <row r="21" spans="1:2" x14ac:dyDescent="0.25">
      <c r="A21" t="s">
        <v>63</v>
      </c>
      <c r="B21" s="18">
        <f>-Assumptions!B30</f>
        <v>-96644000000</v>
      </c>
    </row>
    <row r="22" spans="1:2" x14ac:dyDescent="0.25">
      <c r="A22" t="s">
        <v>64</v>
      </c>
      <c r="B22" s="18">
        <f>B20+B21</f>
        <v>30596480760.663605</v>
      </c>
    </row>
    <row r="23" spans="1:2" x14ac:dyDescent="0.25">
      <c r="A23" s="19" t="s">
        <v>65</v>
      </c>
      <c r="B23" s="25">
        <f>B22/Assumptions!B31</f>
        <v>222.12621043062336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128.17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1453.1100713542023</v>
      </c>
    </row>
    <row r="29" spans="1:2" x14ac:dyDescent="0.25">
      <c r="A29" s="19" t="s">
        <v>73</v>
      </c>
      <c r="B29" s="12">
        <f>B28/B26-1</f>
        <v>10.337364994571292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0.028935</v>
      </c>
      <c r="B5" s="31">
        <v>3614.1528588505544</v>
      </c>
      <c r="C5" s="31">
        <v>5496.725426222896</v>
      </c>
      <c r="D5" s="31">
        <v>12154.283415461425</v>
      </c>
      <c r="E5" s="31" t="s">
        <v>76</v>
      </c>
      <c r="F5" s="31" t="s">
        <v>76</v>
      </c>
    </row>
    <row r="6" spans="1:6" x14ac:dyDescent="0.25">
      <c r="A6" s="30">
        <v>0.038935</v>
      </c>
      <c r="B6" s="31">
        <v>1817.0222971291164</v>
      </c>
      <c r="C6" s="31">
        <v>2240.1458803202136</v>
      </c>
      <c r="D6" s="31">
        <v>2964.4261020567355</v>
      </c>
      <c r="E6" s="31">
        <v>4495.442098117238</v>
      </c>
      <c r="F6" s="31">
        <v>9908.42553682694</v>
      </c>
    </row>
    <row r="7" spans="1:6" x14ac:dyDescent="0.25">
      <c r="A7" s="30">
        <v>0.048935</v>
      </c>
      <c r="B7" s="31">
        <v>1079.2447947980515</v>
      </c>
      <c r="C7" s="31">
        <v>1234.451897647987</v>
      </c>
      <c r="D7" s="32">
        <v>1453.118934131376</v>
      </c>
      <c r="E7" s="31">
        <v>1785.5178347737951</v>
      </c>
      <c r="F7" s="31">
        <v>2354.07256530079</v>
      </c>
    </row>
    <row r="8" spans="1:6" x14ac:dyDescent="0.25">
      <c r="A8" s="30">
        <v>0.058935</v>
      </c>
      <c r="B8" s="31">
        <v>677.4546845489702</v>
      </c>
      <c r="C8" s="31">
        <v>745.3034790723342</v>
      </c>
      <c r="D8" s="31">
        <v>832.2097767939628</v>
      </c>
      <c r="E8" s="31">
        <v>948.0530506004636</v>
      </c>
      <c r="F8" s="31">
        <v>1110.9680254249074</v>
      </c>
    </row>
    <row r="9" spans="1:6" x14ac:dyDescent="0.25">
      <c r="A9" s="30">
        <v>0.068935</v>
      </c>
      <c r="B9" s="31">
        <v>424.7591184689202</v>
      </c>
      <c r="C9" s="31">
        <v>456.02895035479713</v>
      </c>
      <c r="D9" s="31">
        <v>493.72287548369013</v>
      </c>
      <c r="E9" s="31">
        <v>540.3158238323624</v>
      </c>
      <c r="F9" s="31">
        <v>599.741355097194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54774000000</v>
      </c>
      <c r="C5" s="18">
        <v>55085000000</v>
      </c>
      <c r="D5" s="18">
        <v>54607000000</v>
      </c>
      <c r="E5" s="18">
        <v>54022000000</v>
      </c>
      <c r="F5" s="8" t="s">
        <v>85</v>
      </c>
    </row>
    <row r="6" spans="1:6" x14ac:dyDescent="0.25">
      <c r="A6" t="s">
        <v>44</v>
      </c>
      <c r="B6" s="18">
        <v>13324000000</v>
      </c>
      <c r="C6" s="18">
        <v>13245000000</v>
      </c>
      <c r="D6" s="18">
        <v>12506000000</v>
      </c>
      <c r="E6" s="18">
        <v>12243000000</v>
      </c>
      <c r="F6" s="8" t="s">
        <v>86</v>
      </c>
    </row>
    <row r="7" spans="1:6" x14ac:dyDescent="0.25">
      <c r="A7" t="s">
        <v>87</v>
      </c>
      <c r="B7" s="18">
        <v>8711000000</v>
      </c>
      <c r="C7" s="18">
        <v>8673000000</v>
      </c>
      <c r="D7" s="18">
        <v>8696000000</v>
      </c>
      <c r="E7" s="18">
        <v>8903000000</v>
      </c>
      <c r="F7" s="8" t="s">
        <v>88</v>
      </c>
    </row>
    <row r="8" spans="1:6" x14ac:dyDescent="0.25">
      <c r="A8" t="s">
        <v>89</v>
      </c>
      <c r="B8" s="18">
        <v>11659000000</v>
      </c>
      <c r="C8" s="18">
        <v>11269000000</v>
      </c>
      <c r="D8" s="18">
        <v>11115000000</v>
      </c>
      <c r="E8" s="18">
        <v>9376000000</v>
      </c>
      <c r="F8" s="8" t="s">
        <v>90</v>
      </c>
    </row>
    <row r="9" spans="1:6" x14ac:dyDescent="0.25">
      <c r="A9" t="s">
        <v>91</v>
      </c>
      <c r="B9" s="18">
        <v>653000000</v>
      </c>
      <c r="C9" s="18">
        <v>1048000000</v>
      </c>
      <c r="D9" s="18">
        <v>447000000</v>
      </c>
      <c r="E9" s="18">
        <v>396000000</v>
      </c>
      <c r="F9" s="8" t="s">
        <v>92</v>
      </c>
    </row>
    <row r="10" spans="1:6" x14ac:dyDescent="0.25">
      <c r="A10" t="s">
        <v>93</v>
      </c>
      <c r="B10" s="18">
        <v>97121000000</v>
      </c>
      <c r="C10" s="18">
        <v>95763000000</v>
      </c>
      <c r="D10" s="18">
        <v>98202000000</v>
      </c>
      <c r="E10" s="18">
        <v>97603000000</v>
      </c>
      <c r="F10" s="8" t="s">
        <v>94</v>
      </c>
    </row>
    <row r="11" spans="1:6" x14ac:dyDescent="0.25">
      <c r="A11" t="s">
        <v>95</v>
      </c>
      <c r="B11" s="18">
        <v>477000000</v>
      </c>
      <c r="C11" s="18">
        <v>459000000</v>
      </c>
      <c r="D11" s="18">
        <v>709000000</v>
      </c>
      <c r="E11" s="18">
        <v>645000000</v>
      </c>
      <c r="F11" s="8" t="s">
        <v>96</v>
      </c>
    </row>
    <row r="12" spans="1:6" x14ac:dyDescent="0.25">
      <c r="A12" t="s">
        <v>32</v>
      </c>
      <c r="B12" s="34">
        <v>137743676</v>
      </c>
      <c r="C12" s="34">
        <v>145363771</v>
      </c>
      <c r="D12" s="34">
        <v>151966313</v>
      </c>
      <c r="E12" s="34">
        <v>164433596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