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<sst xmlns="http://schemas.openxmlformats.org/spreadsheetml/2006/main" count="120" uniqueCount="107">
  <si>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Cigna Group (CI)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</si>
  <si>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</si>
  <si>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</si>
  <si>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</si>
  <si>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</si>
  <si>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</si>
  <si>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</si>
  <si>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</si>
  <si>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</si>
  <si>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</si>
  <si>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</si>
  <si>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</si>
  <si>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</si>
  <si>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</si>
  <si>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</si>
  <si>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</si>
  <si>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</si>
  <si>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</si>
  <si>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</si>
  <si>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</si>
  <si>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</si>
  <si>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</si>
  <si>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</si>
  <si>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</si>
  <si>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5.8x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</si>
  <si>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</si>
  <si>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</si>
  <si>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</si>
  <si>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</si>
  <si>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</si>
  <si>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</si>
  <si>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</si>
  <si>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</si>
  <si>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</si>
  <si>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</si>
  <si>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</si>
  <si>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</si>
  <si>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</si>
  <si>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</si>
  <si>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</si>
  <si>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</si>
  <si>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</si>
  <si>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</si>
  <si>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</si>
  <si>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</si>
  <si>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</si>
  <si>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</si>
  <si>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</si>
  <si>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</si>
  <si>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</si>
  <si>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</si>
  <si>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</si>
  <si>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</si>
  <si>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</si>
  <si>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</si>
  <si>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</si>
  <si>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</si>
  <si>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</si>
  <si>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</si>
  <si>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</si>
  <si>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</si>
  <si>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</si>
  <si>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</si>
  <si>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</si>
  <si>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</si>
  <si>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</si>
  <si>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</si>
  <si>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</si>
  <si>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</si>
  <si>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</si>
  <si>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</si>
  <si>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</si>
  <si>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</si>
  <si>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</si>
  <si>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</si>
  <si>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</si>
  <si>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</si>
  <si>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</si>
  <si>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</si>
  <si>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</si>
  <si>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</si>
  <si>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</si>
  <si>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</si>
  <si>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</si>
  <si>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</si>
  <si>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</si>
  <si>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</si>
  <si>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</si>
  <si>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</si>
  <si>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</si>
  <si>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</si>
  <si>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</si>
  <si>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</si>
  <si>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</si>
  <si>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</si>
  <si>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</si>
  <si>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</si>
  <si>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</si>
  <si>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</si>
  <si>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</si>
  <si>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</si>
  <si>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</si>
  <si>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</si>
  <si>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</si>
  <si>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</si>
  <si>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0.64%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</si>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</sst>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0.049638315744885864</v>
      </c>
    </row>
    <row r="7" spans="1:2" x14ac:dyDescent="0.25">
      <c r="A7" t="s">
        <v>4</v>
      </c>
      <c r="B7" s="5">
        <v>0.03568039472160332</v>
      </c>
    </row>
    <row r="8" spans="1:2" x14ac:dyDescent="0.25">
      <c r="A8" t="s">
        <v>5</v>
      </c>
      <c r="B8" s="5">
        <v>0.1921041224737135</v>
      </c>
    </row>
    <row r="9" spans="1:2" x14ac:dyDescent="0.25">
      <c r="A9" t="s">
        <v>6</v>
      </c>
      <c r="B9" s="5">
        <v>0.013354451753967296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-0.04786185793113726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9.213827250068626</v>
      </c>
    </row>
    <row r="14" spans="1:3" x14ac:dyDescent="0.25">
      <c r="A14" t="s">
        <v>12</v>
      </c>
      <c r="B14" s="5">
        <v>0.08390432076187443</v>
      </c>
      <c r="C14" s="6" t="s">
        <v>13</v>
      </c>
    </row>
    <row r="15" spans="1:3" x14ac:dyDescent="0.25">
      <c r="A15" t="s">
        <v>14</v>
      </c>
      <c r="B15" s="5">
        <v>0.001180534650561693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0.4948199999999999</v>
      </c>
      <c r="C19" s="6" t="s">
        <v>21</v>
      </c>
    </row>
    <row r="20" spans="1:2" x14ac:dyDescent="0.25">
      <c r="A20" t="s">
        <v>22</v>
      </c>
      <c r="B20" s="9">
        <f>B17+B19*B18</f>
        <v>0.069870886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77880918016</v>
      </c>
    </row>
    <row r="23" spans="1:2" x14ac:dyDescent="0.25">
      <c r="A23" t="s">
        <v>26</v>
      </c>
      <c r="B23" s="10">
        <v>31463000000</v>
      </c>
    </row>
    <row r="24" spans="1:2" x14ac:dyDescent="0.25">
      <c r="A24" t="s">
        <v>27</v>
      </c>
      <c r="B24" s="9">
        <f>B22/(B22+B23)</f>
        <v>0.7122565153061727</v>
      </c>
    </row>
    <row r="25" spans="1:2" x14ac:dyDescent="0.25">
      <c r="A25" t="s">
        <v>28</v>
      </c>
      <c r="B25" s="9">
        <f>1-B24</f>
        <v>0.28774348469382727</v>
      </c>
    </row>
    <row r="26" spans="1:2" x14ac:dyDescent="0.25">
      <c r="A26" t="s">
        <v>29</v>
      </c>
      <c r="B26" s="11">
        <f>B24*B20+B25*B21*(1-B8)</f>
        <v>0.0627701851810854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273854000000</v>
      </c>
      <c r="C29" s="6" t="s">
        <v>32</v>
      </c>
    </row>
    <row r="30" spans="1:2" x14ac:dyDescent="0.25">
      <c r="A30" t="s">
        <v>33</v>
      </c>
      <c r="B30" s="10">
        <v>22817000000</v>
      </c>
    </row>
    <row r="31" spans="1:2" x14ac:dyDescent="0.25">
      <c r="A31" t="s">
        <v>34</v>
      </c>
      <c r="B31" s="12">
        <v>268563000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0.049638315744885864</v>
      </c>
      <c r="C5" s="5">
        <v>0.04075702638793777</v>
      </c>
      <c r="D5" s="5">
        <v>0.03878739808944555</v>
      </c>
      <c r="E5" s="5">
        <v>0.036817769790953324</v>
      </c>
      <c r="F5" s="5">
        <v>0.034848141492461106</v>
      </c>
      <c r="G5" s="5">
        <v>0.03287851319396888</v>
      </c>
      <c r="H5" s="5">
        <v>0.030908884895476663</v>
      </c>
      <c r="I5" s="5">
        <v>0.028939256596984445</v>
      </c>
      <c r="J5" s="5">
        <v>0.026969628298492223</v>
      </c>
      <c r="K5" s="5">
        <v>0.025</v>
      </c>
    </row>
    <row r="6" spans="1:11" x14ac:dyDescent="0.25">
      <c r="A6" t="s">
        <v>50</v>
      </c>
      <c r="B6" s="18">
        <f>Assumptions!B29*(1+B5)</f>
        <v>287447651320</v>
      </c>
      <c r="C6" s="18">
        <f>B6*(1+C5)</f>
        <v>299163162830</v>
      </c>
      <c r="D6" s="18">
        <f>C6*(1+D5)</f>
        <v>310766923520.3848</v>
      </c>
      <c r="E6" s="18">
        <f>D6*(1+E5)</f>
        <v>322208668569.2012</v>
      </c>
      <c r="F6" s="18">
        <f>E6*(1+F5)</f>
        <v>333437041841.5982</v>
      </c>
      <c r="G6" s="18">
        <f>F6*(1+G5)</f>
        <v>344399956021.14514</v>
      </c>
      <c r="H6" s="18">
        <f>G6*(1+H5)</f>
        <v>355044974619.80994</v>
      </c>
      <c r="I6" s="18">
        <f>H6*(1+I5)</f>
        <v>365319712243.8024</v>
      </c>
      <c r="J6" s="18">
        <f>I6*(1+J5)</f>
        <v>375172249093.1299</v>
      </c>
      <c r="K6" s="18">
        <f>J6*(1+K5)</f>
        <v>384551555320.45807</v>
      </c>
    </row>
    <row r="7" spans="1:11" x14ac:dyDescent="0.25">
      <c r="A7" t="s">
        <v>4</v>
      </c>
      <c r="B7" s="9">
        <f>Assumptions!B7</f>
        <v>0.03568039472160332</v>
      </c>
      <c r="C7" s="9">
        <f>Assumptions!B7</f>
        <v>0.03568039472160332</v>
      </c>
      <c r="D7" s="9">
        <f>Assumptions!B7</f>
        <v>0.03568039472160332</v>
      </c>
      <c r="E7" s="9">
        <f>Assumptions!B7</f>
        <v>0.03568039472160332</v>
      </c>
      <c r="F7" s="9">
        <f>Assumptions!B7</f>
        <v>0.03568039472160332</v>
      </c>
      <c r="G7" s="9">
        <f>Assumptions!B7</f>
        <v>0.03568039472160332</v>
      </c>
      <c r="H7" s="9">
        <f>Assumptions!B7</f>
        <v>0.03568039472160332</v>
      </c>
      <c r="I7" s="9">
        <f>Assumptions!B7</f>
        <v>0.03568039472160332</v>
      </c>
      <c r="J7" s="9">
        <f>Assumptions!B7</f>
        <v>0.03568039472160332</v>
      </c>
      <c r="K7" s="9">
        <f>Assumptions!B7</f>
        <v>0.03568039472160332</v>
      </c>
    </row>
    <row r="8" spans="1:11" x14ac:dyDescent="0.25">
      <c r="A8" t="s">
        <v>51</v>
      </c>
      <c r="B8" s="18">
        <f>B6*B7</f>
        <v>10256245660.895401</v>
      </c>
      <c r="C8" s="18">
        <f>C6*C7</f>
        <v>10674259735.937687</v>
      </c>
      <c r="D8" s="18">
        <f>D6*D7</f>
        <v>11088286497.625643</v>
      </c>
      <c r="E8" s="18">
        <f>E6*E7</f>
        <v>11496532477.27136</v>
      </c>
      <c r="F8" s="18">
        <f>F6*F7</f>
        <v>11897165267.711987</v>
      </c>
      <c r="G8" s="18">
        <f>G6*G7</f>
        <v>12288326372.937284</v>
      </c>
      <c r="H8" s="18">
        <f>H6*H7</f>
        <v>12668144838.356453</v>
      </c>
      <c r="I8" s="18">
        <f>I6*I7</f>
        <v>13034751532.441414</v>
      </c>
      <c r="J8" s="18">
        <f>J6*J7</f>
        <v>13386293936.234558</v>
      </c>
      <c r="K8" s="18">
        <f>K6*K7</f>
        <v>13720951284.64042</v>
      </c>
    </row>
    <row r="9" spans="1:11" x14ac:dyDescent="0.25">
      <c r="A9" t="s">
        <v>52</v>
      </c>
      <c r="B9" s="18">
        <f>B8*(1-Assumptions!B8)</f>
        <v>8285978588.334259</v>
      </c>
      <c r="C9" s="18">
        <f>C8*(1-Assumptions!B8)</f>
        <v>8623690436.308886</v>
      </c>
      <c r="D9" s="18">
        <f>D8*(1-Assumptions!B8)</f>
        <v>8958180950.262144</v>
      </c>
      <c r="E9" s="18">
        <f>E8*(1-Assumptions!B8)</f>
        <v>9288001194.234598</v>
      </c>
      <c r="F9" s="18">
        <f>F8*(1-Assumptions!B8)</f>
        <v>9611670774.033434</v>
      </c>
      <c r="G9" s="18">
        <f>G8*(1-Assumptions!B8)</f>
        <v>9927688218.393578</v>
      </c>
      <c r="H9" s="18">
        <f>H8*(1-Assumptions!B8)</f>
        <v>10234541990.814085</v>
      </c>
      <c r="I9" s="18">
        <f>I8*(1-Assumptions!B8)</f>
        <v>10530722027.638865</v>
      </c>
      <c r="J9" s="18">
        <f>J8*(1-Assumptions!B8)</f>
        <v>10814731686.439028</v>
      </c>
      <c r="K9" s="18">
        <f>K8*(1-Assumptions!B8)</f>
        <v>11085099978.600002</v>
      </c>
    </row>
    <row r="10" spans="1:11" x14ac:dyDescent="0.25">
      <c r="A10" t="s">
        <v>53</v>
      </c>
      <c r="B10" s="18">
        <f>B6*Assumptions!B9</f>
        <v>3838705791.344154</v>
      </c>
      <c r="C10" s="18">
        <f>C6*Assumptions!B9</f>
        <v>3995160024.5774975</v>
      </c>
      <c r="D10" s="18">
        <f>D6*Assumptions!B9</f>
        <v>4150121886.881824</v>
      </c>
      <c r="E10" s="18">
        <f>E6*Assumptions!B9</f>
        <v>4302920119.117435</v>
      </c>
      <c r="F10" s="18">
        <f>F6*Assumptions!B9</f>
        <v>4452868888.259198</v>
      </c>
      <c r="G10" s="18">
        <f>G6*Assumptions!B9</f>
        <v>4599272596.752842</v>
      </c>
      <c r="H10" s="18">
        <f>H6*Assumptions!B9</f>
        <v>4741430984.048795</v>
      </c>
      <c r="I10" s="18">
        <f>I6*Assumptions!B9</f>
        <v>4878644471.933075</v>
      </c>
      <c r="J10" s="18">
        <f>J6*Assumptions!B9</f>
        <v>5010219699.941604</v>
      </c>
      <c r="K10" s="18">
        <f>K6*Assumptions!B9</f>
        <v>5135475192.440143</v>
      </c>
    </row>
    <row r="11" spans="1:11" x14ac:dyDescent="0.25">
      <c r="A11" t="s">
        <v>54</v>
      </c>
      <c r="B11" s="18">
        <f>-B6*B19</f>
        <v>-2874476513.2000003</v>
      </c>
      <c r="C11" s="18">
        <f>-C6*C19</f>
        <v>-3081380424.8009367</v>
      </c>
      <c r="D11" s="18">
        <f>-D6*D19</f>
        <v>-3294129072.8015823</v>
      </c>
      <c r="E11" s="18">
        <f>-E6*E19</f>
        <v>-3512073995.1525106</v>
      </c>
      <c r="F11" s="18">
        <f>-F6*F19</f>
        <v>-3734494189.4181113</v>
      </c>
      <c r="G11" s="18">
        <f>-G6*G19</f>
        <v>-3960598617.319255</v>
      </c>
      <c r="H11" s="18">
        <f>-H6*H19</f>
        <v>-4189529615.6793723</v>
      </c>
      <c r="I11" s="18">
        <f>-I6*I19</f>
        <v>-4420367215.883209</v>
      </c>
      <c r="J11" s="18">
        <f>-J6*J19</f>
        <v>-4652134360.310865</v>
      </c>
      <c r="K11" s="18">
        <f>-K6*K19</f>
        <v>-4883802990.082893</v>
      </c>
    </row>
    <row r="12" spans="1:11" x14ac:dyDescent="0.25">
      <c r="A12" t="s">
        <v>55</v>
      </c>
      <c r="B12" s="18">
        <f>-(B6-Assumptions!B29)*Assumptions!B11</f>
        <v>650617408.2432564</v>
      </c>
      <c r="C12" s="18">
        <f>-(C6-B6)*Assumptions!B11</f>
        <v>560726147.4822234</v>
      </c>
      <c r="D12" s="18">
        <f>-(D6-C6)*Assumptions!B11</f>
        <v>555377545.6301137</v>
      </c>
      <c r="E12" s="18">
        <f>-(E6-D6)*Assumptions!B11</f>
        <v>547623176.010741</v>
      </c>
      <c r="F12" s="18">
        <f>-(F6-E6)*Assumptions!B11</f>
        <v>537410806.3612456</v>
      </c>
      <c r="G12" s="18">
        <f>-(G6-F6)*Assumptions!B11</f>
        <v>524705440.97272563</v>
      </c>
      <c r="H12" s="18">
        <f>-(H6-G6)*Assumptions!B11</f>
        <v>509490367.84360826</v>
      </c>
      <c r="I12" s="18">
        <f>-(I6-H6)*Assumptions!B11</f>
        <v>491768032.4392395</v>
      </c>
      <c r="J12" s="18">
        <f>-(J6-I6)*Assumptions!B11</f>
        <v>471560718.9438053</v>
      </c>
      <c r="K12" s="18">
        <f>-(K6-J6)*Assumptions!B11</f>
        <v>448911022.1450126</v>
      </c>
    </row>
    <row r="13" spans="1:11" x14ac:dyDescent="0.25">
      <c r="A13" s="19" t="s">
        <v>56</v>
      </c>
      <c r="B13" s="20">
        <f>B9+B10+B11+B12</f>
        <v>9900825274.721668</v>
      </c>
      <c r="C13" s="20">
        <f>C9+C10+C11+C12</f>
        <v>10098196183.567669</v>
      </c>
      <c r="D13" s="20">
        <f>D9+D10+D11+D12</f>
        <v>10369551309.9725</v>
      </c>
      <c r="E13" s="20">
        <f>E9+E10+E11+E12</f>
        <v>10626470494.210264</v>
      </c>
      <c r="F13" s="20">
        <f>F9+F10+F11+F12</f>
        <v>10867456279.235767</v>
      </c>
      <c r="G13" s="20">
        <f>G9+G10+G11+G12</f>
        <v>11091067638.799889</v>
      </c>
      <c r="H13" s="20">
        <f>H9+H10+H11+H12</f>
        <v>11295933727.027117</v>
      </c>
      <c r="I13" s="20">
        <f>I9+I10+I11+I12</f>
        <v>11480767316.12797</v>
      </c>
      <c r="J13" s="20">
        <f>J9+J10+J11+J12</f>
        <v>11644377745.01357</v>
      </c>
      <c r="K13" s="20">
        <f>K9+K10+K11+K12</f>
        <v>11785683203.102264</v>
      </c>
    </row>
    <row r="14" spans="1:11" x14ac:dyDescent="0.25">
      <c r="A14" t="s">
        <v>57</v>
      </c>
      <c r="B14" s="21">
        <f>1/(1+Assumptions!$B$26)^(1-0.5*Assumptions!$B$32)</f>
        <v>0.9700191739586131</v>
      </c>
      <c r="C14" s="21">
        <f>1/(1+Assumptions!$B$26)^(2-0.5*Assumptions!$B$32)</f>
        <v>0.9127271234028188</v>
      </c>
      <c r="D14" s="21">
        <f>1/(1+Assumptions!$B$26)^(3-0.5*Assumptions!$B$32)</f>
        <v>0.8588189018939212</v>
      </c>
      <c r="E14" s="21">
        <f>1/(1+Assumptions!$B$26)^(4-0.5*Assumptions!$B$32)</f>
        <v>0.8080946510064045</v>
      </c>
      <c r="F14" s="21">
        <f>1/(1+Assumptions!$B$26)^(5-0.5*Assumptions!$B$32)</f>
        <v>0.7603663165133987</v>
      </c>
      <c r="G14" s="21">
        <f>1/(1+Assumptions!$B$26)^(6-0.5*Assumptions!$B$32)</f>
        <v>0.7154569511976288</v>
      </c>
      <c r="H14" s="21">
        <f>1/(1+Assumptions!$B$26)^(7-0.5*Assumptions!$B$32)</f>
        <v>0.6732000588403053</v>
      </c>
      <c r="I14" s="21">
        <f>1/(1+Assumptions!$B$26)^(8-0.5*Assumptions!$B$32)</f>
        <v>0.6334389769558683</v>
      </c>
      <c r="J14" s="21">
        <f>1/(1+Assumptions!$B$26)^(9-0.5*Assumptions!$B$32)</f>
        <v>0.5960262959841469</v>
      </c>
      <c r="K14" s="21">
        <f>1/(1+Assumptions!$B$26)^(10-0.5*Assumptions!$B$32)</f>
        <v>0.5608233127866586</v>
      </c>
    </row>
    <row r="15" spans="1:11" x14ac:dyDescent="0.25">
      <c r="A15" s="19" t="s">
        <v>58</v>
      </c>
      <c r="B15" s="20">
        <f>B13*B14</f>
        <v>9603990354.494072</v>
      </c>
      <c r="C15" s="20">
        <f>C13*C14</f>
        <v>9216897554.185041</v>
      </c>
      <c r="D15" s="20">
        <f>D13*D14</f>
        <v>8905566669.163254</v>
      </c>
      <c r="E15" s="20">
        <f>E13*E14</f>
        <v>8587193965.448699</v>
      </c>
      <c r="F15" s="20">
        <f>F13*F14</f>
        <v>8263247700.912906</v>
      </c>
      <c r="G15" s="20">
        <f>G13*G14</f>
        <v>7935181438.382451</v>
      </c>
      <c r="H15" s="20">
        <f>H13*H14</f>
        <v>7604423249.690845</v>
      </c>
      <c r="I15" s="20">
        <f>I13*I14</f>
        <v>7272365503.39647</v>
      </c>
      <c r="J15" s="20">
        <f>J13*J14</f>
        <v>6940355336.400672</v>
      </c>
      <c r="K15" s="20">
        <f>K13*K14</f>
        <v>6609685897.417891</v>
      </c>
    </row>
    <row r="17" spans="1:2" x14ac:dyDescent="0.25">
      <c r="A17" s="22" t="s">
        <v>59</v>
      </c>
      <c r="B17" s="23">
        <f>SUM(B15:K15)</f>
        <v>80938907669.4923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0.010299999490752599</v>
      </c>
      <c r="D19" s="9">
        <f>Assumptions!$B$10+($B$20-Assumptions!$B$10)*2/9</f>
        <v>0.010599998981505196</v>
      </c>
      <c r="E19" s="9">
        <f>Assumptions!$B$10+($B$20-Assumptions!$B$10)*3/9</f>
        <v>0.010899998472257795</v>
      </c>
      <c r="F19" s="9">
        <f>Assumptions!$B$10+($B$20-Assumptions!$B$10)*4/9</f>
        <v>0.011199997963010393</v>
      </c>
      <c r="G19" s="9">
        <f>Assumptions!$B$10+($B$20-Assumptions!$B$10)*5/9</f>
        <v>0.01149999745376299</v>
      </c>
      <c r="H19" s="9">
        <f>Assumptions!$B$10+($B$20-Assumptions!$B$10)*6/9</f>
        <v>0.011799996944515589</v>
      </c>
      <c r="I19" s="9">
        <f>Assumptions!$B$10+($B$20-Assumptions!$B$10)*7/9</f>
        <v>0.012099996435268188</v>
      </c>
      <c r="J19" s="9">
        <f>Assumptions!$B$10+($B$20-Assumptions!$B$10)*8/9</f>
        <v>0.012399995926020785</v>
      </c>
      <c r="K19" s="9">
        <f>Assumptions!$B$10+($B$20-Assumptions!$B$10)*9/9</f>
        <v>0.012699995416773384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0.012699995416773384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11785683203.102264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14867263524.586008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0.2979584337611352</v>
      </c>
    </row>
    <row r="7" spans="1:2" x14ac:dyDescent="0.25">
      <c r="A7" t="s">
        <v>66</v>
      </c>
      <c r="B7" s="18">
        <f>-MAX(B5,0)*B6</f>
        <v>-4429826554.099701</v>
      </c>
    </row>
    <row r="8" spans="1:2" x14ac:dyDescent="0.25">
      <c r="A8" t="s">
        <v>67</v>
      </c>
      <c r="B8" s="18">
        <f>IF(OR(Assumptions!$B$33=0,Assumptions!B12&lt;=0),B5,MAX(B5+B7,0))</f>
        <v>10437436970.486307</v>
      </c>
    </row>
    <row r="9" spans="1:2" x14ac:dyDescent="0.25">
      <c r="A9" t="s">
        <v>68</v>
      </c>
      <c r="B9" s="18">
        <f>B8*(1+Assumptions!B12)/(Assumptions!B26-Assumptions!B12)</f>
        <v>283249151240.7519</v>
      </c>
    </row>
    <row r="10" spans="1:2" x14ac:dyDescent="0.25">
      <c r="A10" t="s">
        <v>69</v>
      </c>
      <c r="B10" s="18">
        <f>B9/(1+Assumptions!B26)^(10-0.5*Assumptions!B32)</f>
        <v>158852727342.84778</v>
      </c>
    </row>
    <row r="11" spans="1:2" x14ac:dyDescent="0.25">
      <c r="A11" t="s">
        <v>70</v>
      </c>
      <c r="B11" s="18">
        <f>Forecast!B17+B10</f>
        <v>239791635012.3401</v>
      </c>
    </row>
    <row r="12" spans="1:2" x14ac:dyDescent="0.25">
      <c r="A12" t="s">
        <v>71</v>
      </c>
      <c r="B12" s="18">
        <f>-Assumptions!B30</f>
        <v>-22817000000</v>
      </c>
    </row>
    <row r="13" spans="1:2" x14ac:dyDescent="0.25">
      <c r="A13" t="s">
        <v>72</v>
      </c>
      <c r="B13" s="18">
        <f>B11+B12</f>
        <v>216974635012.3401</v>
      </c>
    </row>
    <row r="14" spans="1:2" x14ac:dyDescent="0.25">
      <c r="A14" s="19" t="s">
        <v>73</v>
      </c>
      <c r="B14" s="24">
        <f>B13/Assumptions!B31</f>
        <v>807.9096339121178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18856426477.080563</v>
      </c>
    </row>
    <row r="18" spans="1:2" x14ac:dyDescent="0.25">
      <c r="A18" t="s">
        <v>68</v>
      </c>
      <c r="B18" s="18">
        <f>B17*Assumptions!B13</f>
        <v>173739856113.44043</v>
      </c>
    </row>
    <row r="19" spans="1:2" x14ac:dyDescent="0.25">
      <c r="A19" t="s">
        <v>69</v>
      </c>
      <c r="B19" s="18">
        <f>B18/(1+Assumptions!B26)^(10-0.5*Assumptions!B32)</f>
        <v>97437361668.61707</v>
      </c>
    </row>
    <row r="20" spans="1:2" x14ac:dyDescent="0.25">
      <c r="A20" t="s">
        <v>70</v>
      </c>
      <c r="B20" s="18">
        <f>Forecast!B17+B19</f>
        <v>178376269338.10938</v>
      </c>
    </row>
    <row r="21" spans="1:2" x14ac:dyDescent="0.25">
      <c r="A21" t="s">
        <v>71</v>
      </c>
      <c r="B21" s="18">
        <f>-Assumptions!B30</f>
        <v>-22817000000</v>
      </c>
    </row>
    <row r="22" spans="1:2" x14ac:dyDescent="0.25">
      <c r="A22" t="s">
        <v>72</v>
      </c>
      <c r="B22" s="18">
        <f>B20+B21</f>
        <v>155559269338.10938</v>
      </c>
    </row>
    <row r="23" spans="1:2" x14ac:dyDescent="0.25">
      <c r="A23" s="19" t="s">
        <v>73</v>
      </c>
      <c r="B23" s="25">
        <f>B22/Assumptions!B31</f>
        <v>579.2282233148624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294.735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807.9096339121178</v>
      </c>
    </row>
    <row r="29" spans="1:2" x14ac:dyDescent="0.25">
      <c r="A29" s="19" t="s">
        <v>81</v>
      </c>
      <c r="B29" s="11">
        <f>B28/B26-1</f>
        <v>1.7411391043212299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0.04277</v>
      </c>
      <c r="B5" s="31">
        <v>1384.0411330904492</v>
      </c>
      <c r="C5" s="31">
        <v>1525.0821930031618</v>
      </c>
      <c r="D5" s="31">
        <v>1750.7185150382559</v>
      </c>
      <c r="E5" s="31">
        <v>2160.3180656668146</v>
      </c>
      <c r="F5" s="31">
        <v>3109.0222128298915</v>
      </c>
    </row>
    <row r="6" spans="1:6" x14ac:dyDescent="0.25">
      <c r="A6" s="30">
        <v>0.05277</v>
      </c>
      <c r="B6" s="31">
        <v>1001.2315223069847</v>
      </c>
      <c r="C6" s="31">
        <v>1046.0708314413528</v>
      </c>
      <c r="D6" s="31">
        <v>1110.2109655265838</v>
      </c>
      <c r="E6" s="31">
        <v>1206.3665655052753</v>
      </c>
      <c r="F6" s="31">
        <v>1361.5625041068545</v>
      </c>
    </row>
    <row r="7" spans="1:6" x14ac:dyDescent="0.25">
      <c r="A7" s="30">
        <v>0.06277</v>
      </c>
      <c r="B7" s="31">
        <v>778.3921021859643</v>
      </c>
      <c r="C7" s="31">
        <v>790.4604442565723</v>
      </c>
      <c r="D7" s="32">
        <v>807.9137579664139</v>
      </c>
      <c r="E7" s="31">
        <v>833.2169372608205</v>
      </c>
      <c r="F7" s="31">
        <v>870.6100967875586</v>
      </c>
    </row>
    <row r="8" spans="1:6" x14ac:dyDescent="0.25">
      <c r="A8" s="30">
        <v>0.07277</v>
      </c>
      <c r="B8" s="31">
        <v>632.4818852031792</v>
      </c>
      <c r="C8" s="31">
        <v>631.2973011359579</v>
      </c>
      <c r="D8" s="31">
        <v>631.5010169736912</v>
      </c>
      <c r="E8" s="31">
        <v>633.5799277029192</v>
      </c>
      <c r="F8" s="31">
        <v>638.2787493250299</v>
      </c>
    </row>
    <row r="9" spans="1:6" x14ac:dyDescent="0.25">
      <c r="A9" s="30">
        <v>0.08277</v>
      </c>
      <c r="B9" s="31">
        <v>529.469934510088</v>
      </c>
      <c r="C9" s="31">
        <v>522.5237128208172</v>
      </c>
      <c r="D9" s="31">
        <v>515.6549474079824</v>
      </c>
      <c r="E9" s="31">
        <v>508.88565540530624</v>
      </c>
      <c r="F9" s="31">
        <v>502.24707192169313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273854000000</v>
      </c>
      <c r="C5" s="18">
        <v>246148000000</v>
      </c>
      <c r="D5" s="18">
        <v>194099000000</v>
      </c>
      <c r="E5" s="18">
        <v>179363000000</v>
      </c>
      <c r="F5" s="6" t="s">
        <v>91</v>
      </c>
    </row>
    <row r="6" spans="1:6" x14ac:dyDescent="0.25">
      <c r="A6" t="s">
        <v>51</v>
      </c>
      <c r="B6" s="18">
        <v>8154000000</v>
      </c>
      <c r="C6" s="18">
        <v>8444000000</v>
      </c>
      <c r="D6" s="18">
        <v>7370000000</v>
      </c>
      <c r="E6" s="18">
        <v>7295000000</v>
      </c>
      <c r="F6" s="6" t="s">
        <v>92</v>
      </c>
    </row>
    <row r="7" spans="1:6" x14ac:dyDescent="0.25">
      <c r="A7" t="s">
        <v>93</v>
      </c>
      <c r="B7" s="18">
        <v>2775000000</v>
      </c>
      <c r="C7" s="18">
        <v>2775000000</v>
      </c>
      <c r="D7" s="18">
        <v>3035000000</v>
      </c>
      <c r="E7" s="18">
        <v>2937000000</v>
      </c>
      <c r="F7" s="6" t="s">
        <v>94</v>
      </c>
    </row>
    <row r="8" spans="1:6" x14ac:dyDescent="0.25">
      <c r="A8" t="s">
        <v>95</v>
      </c>
      <c r="B8" s="18">
        <v>1212000000</v>
      </c>
      <c r="C8" s="18">
        <v>1406000000</v>
      </c>
      <c r="D8" s="18">
        <v>1573000000</v>
      </c>
      <c r="E8" s="18">
        <v>1295000000</v>
      </c>
      <c r="F8" s="6" t="s">
        <v>96</v>
      </c>
    </row>
    <row r="9" spans="1:6" x14ac:dyDescent="0.25">
      <c r="A9" t="s">
        <v>97</v>
      </c>
      <c r="B9" s="18">
        <v>261000000</v>
      </c>
      <c r="C9" s="18">
        <v>-418000000</v>
      </c>
      <c r="D9" s="18">
        <v>-3025000000</v>
      </c>
      <c r="E9" s="18">
        <v>-259000000</v>
      </c>
      <c r="F9" s="6" t="s">
        <v>98</v>
      </c>
    </row>
    <row r="10" spans="1:6" x14ac:dyDescent="0.25">
      <c r="A10" t="s">
        <v>99</v>
      </c>
      <c r="B10" s="18">
        <v>31463000000</v>
      </c>
      <c r="C10" s="18">
        <v>31972000000</v>
      </c>
      <c r="D10" s="18">
        <v>30930000000</v>
      </c>
      <c r="E10" s="18">
        <v>31093000000</v>
      </c>
      <c r="F10" s="6" t="s">
        <v>100</v>
      </c>
    </row>
    <row r="11" spans="1:6" x14ac:dyDescent="0.25">
      <c r="A11" t="s">
        <v>101</v>
      </c>
      <c r="B11" s="18">
        <v>8646000000</v>
      </c>
      <c r="C11" s="18">
        <v>8215000000</v>
      </c>
      <c r="D11" s="18">
        <v>8565000000</v>
      </c>
      <c r="E11" s="18">
        <v>6762000000</v>
      </c>
      <c r="F11" s="6" t="s">
        <v>102</v>
      </c>
    </row>
    <row r="12" spans="1:6" x14ac:dyDescent="0.25">
      <c r="A12" t="s">
        <v>34</v>
      </c>
      <c r="B12" s="34">
        <v>268563000</v>
      </c>
      <c r="C12" s="34">
        <v>283218000</v>
      </c>
      <c r="D12" s="34">
        <v>296882000</v>
      </c>
      <c r="E12" s="34">
        <v>313065000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