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<sst xmlns="http://schemas.openxmlformats.org/spreadsheetml/2006/main" count="114" uniqueCount="102">
  <si>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Champion Iron Limited (CIA.AX)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</si>
  <si>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</si>
  <si>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</si>
  <si>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</si>
  <si>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</si>
  <si>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</si>
  <si>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</si>
  <si>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</si>
  <si>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</si>
  <si>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</si>
  <si>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</si>
  <si>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</si>
  <si>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</si>
  <si>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</si>
  <si>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</si>
  <si>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</si>
  <si>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</si>
  <si>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</si>
  <si>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</si>
  <si>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</si>
  <si>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</si>
  <si>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</si>
  <si>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</si>
  <si>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</si>
  <si>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</si>
  <si>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</si>
  <si>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</si>
  <si>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</si>
  <si>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</si>
  <si>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</si>
  <si>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2026-03-31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</si>
  <si>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</si>
  <si>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</si>
  <si>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</si>
  <si>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</si>
  <si>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</si>
  <si>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</si>
  <si>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</si>
  <si>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</si>
  <si>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</si>
  <si>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</si>
  <si>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</si>
  <si>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</si>
  <si>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</si>
  <si>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</si>
  <si>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</si>
  <si>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</si>
  <si>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</si>
  <si>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</si>
  <si>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</si>
  <si>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</si>
  <si>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</si>
  <si>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</si>
  <si>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</si>
  <si>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</si>
  <si>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</si>
  <si>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</si>
  <si>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</si>
  <si>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</si>
  <si>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</si>
  <si>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</si>
  <si>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</si>
  <si>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</si>
  <si>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</si>
  <si>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</si>
  <si>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</si>
  <si>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</si>
  <si>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</si>
  <si>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</si>
  <si>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</si>
  <si>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CAD to AUD</t>
  </si>
  <si>
    <t>CAD/AUD at 1.0036</t>
  </si>
  <si>
    <t>Value per share (AUD)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</si>
  <si>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</si>
  <si>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</si>
  <si>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</si>
  <si>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</si>
  <si>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</si>
  <si>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</si>
  <si>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</si>
  <si>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</si>
  <si>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</si>
  <si>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</si>
  <si>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</si>
  <si>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</si>
  <si>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</si>
  <si>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</si>
  <si>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</si>
  <si>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</si>
  <si>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</si>
  <si>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</si>
  <si>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</si>
  <si>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</si>
  <si>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</si>
  <si>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</si>
  <si>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</si>
  <si>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</si>
  <si>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</si>
  <si>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CAD, trades in AUD. Modelled in CAD, converted at the end.</t>
  </si>
  <si>
    <t>Adjusted: Free cashflow is negative in at least one forecast year, so terminal value carries most of the valuation.</t>
  </si>
  <si>
    <t>Adjusted: Capital expenditure runs at 26.2% of revenue against depreciation of 9.1%.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</si>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</sst>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0.082518229175774</v>
      </c>
    </row>
    <row r="7" spans="1:2" x14ac:dyDescent="0.25">
      <c r="A7" t="s">
        <v>5</v>
      </c>
      <c r="B7" s="6">
        <v>0.22976449089563483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0.09055216362900377</v>
      </c>
    </row>
    <row r="10" spans="1:2" x14ac:dyDescent="0.25">
      <c r="A10" t="s">
        <v>8</v>
      </c>
      <c r="B10" s="6">
        <v>0.26180574776707727</v>
      </c>
    </row>
    <row r="11" spans="1:2" x14ac:dyDescent="0.25">
      <c r="A11" t="s">
        <v>9</v>
      </c>
      <c r="B11" s="6">
        <v>-0.033845738942826324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5.3265918538929355</v>
      </c>
    </row>
    <row r="14" spans="1:3" x14ac:dyDescent="0.25">
      <c r="A14" t="s">
        <v>12</v>
      </c>
      <c r="B14" s="6">
        <v>0.12886665530643923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0.7326699999999999</v>
      </c>
      <c r="C19" s="8" t="s">
        <v>19</v>
      </c>
    </row>
    <row r="20" spans="1:2" x14ac:dyDescent="0.25">
      <c r="A20" t="s">
        <v>20</v>
      </c>
      <c r="B20" s="10">
        <f>B17+B19*B18</f>
        <v>0.09744019999999999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1820152448</v>
      </c>
    </row>
    <row r="23" spans="1:2" x14ac:dyDescent="0.25">
      <c r="A23" t="s">
        <v>24</v>
      </c>
      <c r="B23" s="11">
        <v>1080524000</v>
      </c>
    </row>
    <row r="24" spans="1:2" x14ac:dyDescent="0.25">
      <c r="A24" t="s">
        <v>25</v>
      </c>
      <c r="B24" s="10">
        <f>B22/(B22+B23)</f>
        <v>0.6274924075916791</v>
      </c>
    </row>
    <row r="25" spans="1:2" x14ac:dyDescent="0.25">
      <c r="A25" t="s">
        <v>26</v>
      </c>
      <c r="B25" s="10">
        <f>1-B24</f>
        <v>0.3725075924083209</v>
      </c>
    </row>
    <row r="26" spans="1:2" x14ac:dyDescent="0.25">
      <c r="A26" t="s">
        <v>27</v>
      </c>
      <c r="B26" s="12">
        <f>B24*B20+B25*B21*(1-B8)</f>
        <v>0.07508817992361262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1769731000</v>
      </c>
      <c r="C29" s="8" t="s">
        <v>30</v>
      </c>
    </row>
    <row r="30" spans="1:2" x14ac:dyDescent="0.25">
      <c r="A30" t="s">
        <v>31</v>
      </c>
      <c r="B30" s="11">
        <v>783736000</v>
      </c>
    </row>
    <row r="31" spans="1:2" x14ac:dyDescent="0.25">
      <c r="A31" t="s">
        <v>32</v>
      </c>
      <c r="B31" s="13">
        <v>533235000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0.082518229175774</v>
      </c>
      <c r="C5" s="10">
        <f>Assumptions!B6</f>
        <v>0.082518229175774</v>
      </c>
      <c r="D5" s="10">
        <f>Assumptions!B6</f>
        <v>0.082518229175774</v>
      </c>
      <c r="E5" s="10">
        <f>Assumptions!B6</f>
        <v>0.082518229175774</v>
      </c>
      <c r="F5" s="10">
        <f>Assumptions!B6</f>
        <v>0.082518229175774</v>
      </c>
    </row>
    <row r="6" spans="1:6" x14ac:dyDescent="0.25">
      <c r="A6" t="s">
        <v>43</v>
      </c>
      <c r="B6" s="18">
        <f>Assumptions!B29*(1+B5)</f>
        <v>1915766068.2374718</v>
      </c>
      <c r="C6" s="18">
        <f>B6*(1+C5)</f>
        <v>2073851691.703463</v>
      </c>
      <c r="D6" s="18">
        <f>C6*(1+D5)</f>
        <v>2244982260.876016</v>
      </c>
      <c r="E6" s="18">
        <f>D6*(1+E5)</f>
        <v>2430234221.5745306</v>
      </c>
      <c r="F6" s="18">
        <f>E6*(1+F5)</f>
        <v>2630772846.0212264</v>
      </c>
    </row>
    <row r="7" spans="1:6" x14ac:dyDescent="0.25">
      <c r="A7" t="s">
        <v>5</v>
      </c>
      <c r="B7" s="10">
        <f>Assumptions!B7</f>
        <v>0.22976449089563483</v>
      </c>
      <c r="C7" s="10">
        <f>Assumptions!B7</f>
        <v>0.22976449089563483</v>
      </c>
      <c r="D7" s="10">
        <f>Assumptions!B7</f>
        <v>0.22976449089563483</v>
      </c>
      <c r="E7" s="10">
        <f>Assumptions!B7</f>
        <v>0.22976449089563483</v>
      </c>
      <c r="F7" s="10">
        <f>Assumptions!B7</f>
        <v>0.22976449089563483</v>
      </c>
    </row>
    <row r="8" spans="1:6" x14ac:dyDescent="0.25">
      <c r="A8" t="s">
        <v>44</v>
      </c>
      <c r="B8" s="18">
        <f>B6*B7</f>
        <v>440175015.3437147</v>
      </c>
      <c r="C8" s="18">
        <f>C6*C7</f>
        <v>476497478.1372972</v>
      </c>
      <c r="D8" s="18">
        <f>D6*D7</f>
        <v>515817206.2399091</v>
      </c>
      <c r="E8" s="18">
        <f>E6*E7</f>
        <v>558381528.6772214</v>
      </c>
      <c r="F8" s="18">
        <f>F6*F7</f>
        <v>604458183.6281275</v>
      </c>
    </row>
    <row r="9" spans="1:6" x14ac:dyDescent="0.25">
      <c r="A9" t="s">
        <v>45</v>
      </c>
      <c r="B9" s="18">
        <f>B8*(1-Assumptions!B8)</f>
        <v>308122510.7406003</v>
      </c>
      <c r="C9" s="18">
        <f>C8*(1-Assumptions!B8)</f>
        <v>333548234.69610804</v>
      </c>
      <c r="D9" s="18">
        <f>D8*(1-Assumptions!B8)</f>
        <v>361072044.3679364</v>
      </c>
      <c r="E9" s="18">
        <f>E8*(1-Assumptions!B8)</f>
        <v>390867070.07405496</v>
      </c>
      <c r="F9" s="18">
        <f>F8*(1-Assumptions!B8)</f>
        <v>423120728.5396892</v>
      </c>
    </row>
    <row r="10" spans="1:6" x14ac:dyDescent="0.25">
      <c r="A10" t="s">
        <v>46</v>
      </c>
      <c r="B10" s="18">
        <f>B6*Assumptions!B9</f>
        <v>173476762.48593274</v>
      </c>
      <c r="C10" s="18">
        <f>C6*Assumptions!B9</f>
        <v>187791757.72941828</v>
      </c>
      <c r="D10" s="18">
        <f>D6*Assumptions!B9</f>
        <v>203288001.03105584</v>
      </c>
      <c r="E10" s="18">
        <f>E6*Assumptions!B9</f>
        <v>220062966.8888215</v>
      </c>
      <c r="F10" s="18">
        <f>F6*Assumptions!B9</f>
        <v>238222173.22365403</v>
      </c>
    </row>
    <row r="11" spans="1:6" x14ac:dyDescent="0.25">
      <c r="A11" t="s">
        <v>47</v>
      </c>
      <c r="B11" s="18">
        <f>-B6*Assumptions!B10</f>
        <v>-501558568.0417049</v>
      </c>
      <c r="C11" s="18">
        <f>-C6*Assumptions!B10</f>
        <v>-542946292.9044434</v>
      </c>
      <c r="D11" s="18">
        <f>-D6*Assumptions!B10</f>
        <v>-587749259.5324692</v>
      </c>
      <c r="E11" s="18">
        <f>-E6*Assumptions!B10</f>
        <v>-636249287.6284609</v>
      </c>
      <c r="F11" s="18">
        <f>-F6*Assumptions!B10</f>
        <v>-688751452.1579092</v>
      </c>
    </row>
    <row r="12" spans="1:6" x14ac:dyDescent="0.25">
      <c r="A12" t="s">
        <v>48</v>
      </c>
      <c r="B12" s="18">
        <f>-(B6-Assumptions!B29)*Assumptions!B11</f>
        <v>4942664.796063299</v>
      </c>
      <c r="C12" s="18">
        <f>-(C6-B6)*Assumptions!B11</f>
        <v>5350524.742443879</v>
      </c>
      <c r="D12" s="18">
        <f>-(D6-C6)*Assumptions!B11</f>
        <v>5792040.569351513</v>
      </c>
      <c r="E12" s="18">
        <f>-(E6-D6)*Assumptions!B11</f>
        <v>6269989.500448642</v>
      </c>
      <c r="F12" s="18">
        <f>-(F6-E6)*Assumptions!B11</f>
        <v>6787377.930976355</v>
      </c>
    </row>
    <row r="13" spans="1:6" x14ac:dyDescent="0.25">
      <c r="A13" s="19" t="s">
        <v>49</v>
      </c>
      <c r="B13" s="20">
        <f>B9+B10+B11+B12</f>
        <v>-15016630.019108538</v>
      </c>
      <c r="C13" s="20">
        <f>C9+C10+C11+C12</f>
        <v>-16255775.736473184</v>
      </c>
      <c r="D13" s="20">
        <f>D9+D10+D11+D12</f>
        <v>-17597173.56412546</v>
      </c>
      <c r="E13" s="20">
        <f>E9+E10+E11+E12</f>
        <v>-19049261.1651358</v>
      </c>
      <c r="F13" s="20">
        <f>F9+F10+F11+F12</f>
        <v>-20621172.463589586</v>
      </c>
    </row>
    <row r="14" spans="1:6" x14ac:dyDescent="0.25">
      <c r="A14" t="s">
        <v>50</v>
      </c>
      <c r="B14" s="21">
        <f>1/(1+Assumptions!$B$26)^(1-0.5*Assumptions!$B$32)</f>
        <v>0.9644460894391699</v>
      </c>
      <c r="C14" s="21">
        <f>1/(1+Assumptions!$B$26)^(2-0.5*Assumptions!$B$32)</f>
        <v>0.8970855669789762</v>
      </c>
      <c r="D14" s="21">
        <f>1/(1+Assumptions!$B$26)^(3-0.5*Assumptions!$B$32)</f>
        <v>0.8344297553738487</v>
      </c>
      <c r="E14" s="21">
        <f>1/(1+Assumptions!$B$26)^(4-0.5*Assumptions!$B$32)</f>
        <v>0.7761500600193898</v>
      </c>
      <c r="F14" s="21">
        <f>1/(1+Assumptions!$B$26)^(5-0.5*Assumptions!$B$32)</f>
        <v>0.7219408365875039</v>
      </c>
    </row>
    <row r="15" spans="1:6" x14ac:dyDescent="0.25">
      <c r="A15" s="19" t="s">
        <v>51</v>
      </c>
      <c r="B15" s="20">
        <f>B13*B14</f>
        <v>-14482730.098484077</v>
      </c>
      <c r="C15" s="20">
        <f>C13*C14</f>
        <v>-14582821.793237131</v>
      </c>
      <c r="D15" s="20">
        <f>D13*D14</f>
        <v>-14683605.232384363</v>
      </c>
      <c r="E15" s="20">
        <f>E13*E14</f>
        <v>-14785085.196645183</v>
      </c>
      <c r="F15" s="20">
        <f>F13*F14</f>
        <v>-14887266.499779064</v>
      </c>
    </row>
    <row r="17" spans="1:2" x14ac:dyDescent="0.25">
      <c r="A17" s="22" t="s">
        <v>52</v>
      </c>
      <c r="B17" s="23">
        <f>SUM(B15:F15)</f>
        <v>-73421508.82052982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-20621172.463589586</v>
      </c>
    </row>
    <row r="5" spans="1:2" x14ac:dyDescent="0.25">
      <c r="A5" t="s">
        <v>56</v>
      </c>
      <c r="B5" s="18">
        <f>IF(Assumptions!$B$33=0,B4,B4-Forecast!F11-Forecast!F10-Forecast!F12)</f>
        <v>424100811.7159798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0.1939989824408114</v>
      </c>
    </row>
    <row r="7" spans="1:2" x14ac:dyDescent="0.25">
      <c r="A7" t="s">
        <v>58</v>
      </c>
      <c r="B7" s="18">
        <f>-MAX(Forecast!F9,0)*B6</f>
        <v>-82275125.92522223</v>
      </c>
    </row>
    <row r="8" spans="1:2" x14ac:dyDescent="0.25">
      <c r="A8" t="s">
        <v>59</v>
      </c>
      <c r="B8" s="18">
        <f>IF(OR(Assumptions!$B$33=0,Assumptions!B12&lt;=0),B5,MAX(B5+B7,0))</f>
        <v>341825685.7907576</v>
      </c>
    </row>
    <row r="9" spans="1:2" x14ac:dyDescent="0.25">
      <c r="A9" t="s">
        <v>60</v>
      </c>
      <c r="B9" s="18">
        <f>B8*(1+Assumptions!B12)/(Assumptions!B26-Assumptions!B12)</f>
        <v>6995090028.622783</v>
      </c>
    </row>
    <row r="10" spans="1:2" x14ac:dyDescent="0.25">
      <c r="A10" t="s">
        <v>61</v>
      </c>
      <c r="B10" s="18">
        <f>B9/(1+Assumptions!B26)^(5-0.5*Assumptions!B32)</f>
        <v>5050041147.268838</v>
      </c>
    </row>
    <row r="11" spans="1:2" x14ac:dyDescent="0.25">
      <c r="A11" t="s">
        <v>62</v>
      </c>
      <c r="B11" s="18">
        <f>Forecast!B17+B10</f>
        <v>4976619638.448308</v>
      </c>
    </row>
    <row r="12" spans="1:2" x14ac:dyDescent="0.25">
      <c r="A12" t="s">
        <v>63</v>
      </c>
      <c r="B12" s="18">
        <f>-Assumptions!B30</f>
        <v>-783736000</v>
      </c>
    </row>
    <row r="13" spans="1:2" x14ac:dyDescent="0.25">
      <c r="A13" t="s">
        <v>64</v>
      </c>
      <c r="B13" s="18">
        <f>B11+B12</f>
        <v>4192883638.448308</v>
      </c>
    </row>
    <row r="14" spans="1:2" x14ac:dyDescent="0.25">
      <c r="A14" s="19" t="s">
        <v>65</v>
      </c>
      <c r="B14" s="24">
        <f>B13/Assumptions!B31</f>
        <v>7.863106582366702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842680356.8517815</v>
      </c>
    </row>
    <row r="18" spans="1:2" x14ac:dyDescent="0.25">
      <c r="A18" t="s">
        <v>60</v>
      </c>
      <c r="B18" s="18">
        <f>B17*Assumptions!B13</f>
        <v>4488614324.242291</v>
      </c>
    </row>
    <row r="19" spans="1:2" x14ac:dyDescent="0.25">
      <c r="A19" t="s">
        <v>61</v>
      </c>
      <c r="B19" s="18">
        <f>B18/(1+Assumptions!B26)^(5-0.5*Assumptions!B32)</f>
        <v>3240513980.362133</v>
      </c>
    </row>
    <row r="20" spans="1:2" x14ac:dyDescent="0.25">
      <c r="A20" t="s">
        <v>62</v>
      </c>
      <c r="B20" s="18">
        <f>Forecast!B17+B19</f>
        <v>3167092471.541603</v>
      </c>
    </row>
    <row r="21" spans="1:2" x14ac:dyDescent="0.25">
      <c r="A21" t="s">
        <v>63</v>
      </c>
      <c r="B21" s="18">
        <f>-Assumptions!B30</f>
        <v>-783736000</v>
      </c>
    </row>
    <row r="22" spans="1:2" x14ac:dyDescent="0.25">
      <c r="A22" t="s">
        <v>64</v>
      </c>
      <c r="B22" s="18">
        <f>B20+B21</f>
        <v>2383356471.541603</v>
      </c>
    </row>
    <row r="23" spans="1:2" x14ac:dyDescent="0.25">
      <c r="A23" s="19" t="s">
        <v>65</v>
      </c>
      <c r="B23" s="25">
        <f>B22/Assumptions!B31</f>
        <v>4.469617469861512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3.25</v>
      </c>
    </row>
    <row r="27" spans="1:3" x14ac:dyDescent="0.25">
      <c r="A27" t="s">
        <v>70</v>
      </c>
      <c r="B27" s="27">
        <v>1.0036</v>
      </c>
      <c r="C27" s="8" t="s">
        <v>71</v>
      </c>
    </row>
    <row r="28" spans="1:2" x14ac:dyDescent="0.25">
      <c r="A28" t="s">
        <v>72</v>
      </c>
      <c r="B28" s="28">
        <f>B14*B27</f>
        <v>7.891413766063222</v>
      </c>
    </row>
    <row r="29" spans="1:2" x14ac:dyDescent="0.25">
      <c r="A29" s="19" t="s">
        <v>73</v>
      </c>
      <c r="B29" s="12">
        <f>B28/B26-1</f>
        <v>1.4281273126348375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0.055088</v>
      </c>
      <c r="B5" s="31">
        <v>12.364277580804071</v>
      </c>
      <c r="C5" s="31">
        <v>13.730133224534093</v>
      </c>
      <c r="D5" s="31">
        <v>15.541885223171494</v>
      </c>
      <c r="E5" s="31">
        <v>18.066132959832153</v>
      </c>
      <c r="F5" s="31">
        <v>21.834907302215623</v>
      </c>
    </row>
    <row r="6" spans="1:6" x14ac:dyDescent="0.25">
      <c r="A6" s="30">
        <v>0.065088</v>
      </c>
      <c r="B6" s="31">
        <v>9.111946769973846</v>
      </c>
      <c r="C6" s="31">
        <v>9.834076012627023</v>
      </c>
      <c r="D6" s="31">
        <v>10.730545234356939</v>
      </c>
      <c r="E6" s="31">
        <v>11.875884179980957</v>
      </c>
      <c r="F6" s="31">
        <v>13.394163770079091</v>
      </c>
    </row>
    <row r="7" spans="1:6" x14ac:dyDescent="0.25">
      <c r="A7" s="30">
        <v>0.075088</v>
      </c>
      <c r="B7" s="31">
        <v>6.962649075917498</v>
      </c>
      <c r="C7" s="31">
        <v>7.3740540715712255</v>
      </c>
      <c r="D7" s="32">
        <v>7.863147676543347</v>
      </c>
      <c r="E7" s="31">
        <v>8.455775551315064</v>
      </c>
      <c r="F7" s="31">
        <v>9.19067781879083</v>
      </c>
    </row>
    <row r="8" spans="1:6" x14ac:dyDescent="0.25">
      <c r="A8" s="30">
        <v>0.085088</v>
      </c>
      <c r="B8" s="31">
        <v>5.443212530970757</v>
      </c>
      <c r="C8" s="31">
        <v>5.687102370551305</v>
      </c>
      <c r="D8" s="31">
        <v>5.968024674713471</v>
      </c>
      <c r="E8" s="31">
        <v>6.296063072718158</v>
      </c>
      <c r="F8" s="31">
        <v>6.685327559127689</v>
      </c>
    </row>
    <row r="9" spans="1:6" x14ac:dyDescent="0.25">
      <c r="A9" s="30">
        <v>0.095088</v>
      </c>
      <c r="B9" s="31">
        <v>4.316852388624407</v>
      </c>
      <c r="C9" s="31">
        <v>4.4634857143240945</v>
      </c>
      <c r="D9" s="31">
        <v>4.628114752186234</v>
      </c>
      <c r="E9" s="31">
        <v>4.814886744136177</v>
      </c>
      <c r="F9" s="31">
        <v>5.029329321503254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1769731000</v>
      </c>
      <c r="C5" s="18">
        <v>1606579000</v>
      </c>
      <c r="D5" s="18">
        <v>1524294000</v>
      </c>
      <c r="E5" s="18">
        <v>1395088000</v>
      </c>
      <c r="F5" s="8" t="s">
        <v>84</v>
      </c>
    </row>
    <row r="6" spans="1:6" x14ac:dyDescent="0.25">
      <c r="A6" t="s">
        <v>44</v>
      </c>
      <c r="B6" s="18">
        <v>308563000</v>
      </c>
      <c r="C6" s="18">
        <v>318794000</v>
      </c>
      <c r="D6" s="18">
        <v>427913000</v>
      </c>
      <c r="E6" s="18">
        <v>370456000</v>
      </c>
      <c r="F6" s="8" t="s">
        <v>85</v>
      </c>
    </row>
    <row r="7" spans="1:6" x14ac:dyDescent="0.25">
      <c r="A7" t="s">
        <v>86</v>
      </c>
      <c r="B7" s="18">
        <v>180284000</v>
      </c>
      <c r="C7" s="18">
        <v>148604000</v>
      </c>
      <c r="D7" s="18">
        <v>123584000</v>
      </c>
      <c r="E7" s="18">
        <v>121044000</v>
      </c>
      <c r="F7" s="8" t="s">
        <v>87</v>
      </c>
    </row>
    <row r="8" spans="1:6" x14ac:dyDescent="0.25">
      <c r="A8" t="s">
        <v>88</v>
      </c>
      <c r="B8" s="18">
        <v>413866000</v>
      </c>
      <c r="C8" s="18">
        <v>605596000</v>
      </c>
      <c r="D8" s="18">
        <v>343274000</v>
      </c>
      <c r="E8" s="18">
        <v>294664000</v>
      </c>
      <c r="F8" s="8" t="s">
        <v>89</v>
      </c>
    </row>
    <row r="9" spans="1:6" x14ac:dyDescent="0.25">
      <c r="A9" t="s">
        <v>90</v>
      </c>
      <c r="B9" s="18">
        <v>-5522000</v>
      </c>
      <c r="C9" s="18">
        <v>63308000</v>
      </c>
      <c r="D9" s="18">
        <v>-36715000</v>
      </c>
      <c r="E9" s="18">
        <v>197789000</v>
      </c>
      <c r="F9" s="8" t="s">
        <v>91</v>
      </c>
    </row>
    <row r="10" spans="1:6" x14ac:dyDescent="0.25">
      <c r="A10" t="s">
        <v>92</v>
      </c>
      <c r="B10" s="18">
        <v>1080524000</v>
      </c>
      <c r="C10" s="18">
        <v>799636000</v>
      </c>
      <c r="D10" s="18">
        <v>616406000</v>
      </c>
      <c r="E10" s="18">
        <v>562122000</v>
      </c>
      <c r="F10" s="8" t="s">
        <v>93</v>
      </c>
    </row>
    <row r="11" spans="1:6" x14ac:dyDescent="0.25">
      <c r="A11" t="s">
        <v>94</v>
      </c>
      <c r="B11" s="18">
        <v>296788000</v>
      </c>
      <c r="C11" s="18">
        <v>117451000</v>
      </c>
      <c r="D11" s="18">
        <v>400061000</v>
      </c>
      <c r="E11" s="18">
        <v>327118000</v>
      </c>
      <c r="F11" s="8" t="s">
        <v>95</v>
      </c>
    </row>
    <row r="12" spans="1:6" x14ac:dyDescent="0.25">
      <c r="A12" t="s">
        <v>32</v>
      </c>
      <c r="B12" s="34">
        <v>533235000</v>
      </c>
      <c r="C12" s="34">
        <v>527659000</v>
      </c>
      <c r="D12" s="34">
        <v>527525000</v>
      </c>
      <c r="E12" s="34">
        <v>527666000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2026-09-19T01:04:03Z</dcterms:modified>
</cp:coreProperties>
</file>