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<sst xmlns="http://schemas.openxmlformats.org/spreadsheetml/2006/main" count="113" uniqueCount="101">
  <si>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Ciena Corporation (CIEN)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</si>
  <si>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</si>
  <si>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</si>
  <si>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</si>
  <si>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</si>
  <si>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</si>
  <si>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</si>
  <si>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</si>
  <si>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</si>
  <si>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</si>
  <si>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</si>
  <si>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</si>
  <si>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</si>
  <si>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</si>
  <si>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</si>
  <si>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</si>
  <si>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</si>
  <si>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</si>
  <si>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</si>
  <si>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</si>
  <si>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</si>
  <si>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</si>
  <si>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</si>
  <si>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</si>
  <si>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</si>
  <si>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</si>
  <si>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</si>
  <si>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</si>
  <si>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</si>
  <si>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</si>
  <si>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2025-10-31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</si>
  <si>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</si>
  <si>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</si>
  <si>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</si>
  <si>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</si>
  <si>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</si>
  <si>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</si>
  <si>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</si>
  <si>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</si>
  <si>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</si>
  <si>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</si>
  <si>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</si>
  <si>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</si>
  <si>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</si>
  <si>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</si>
  <si>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</si>
  <si>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</si>
  <si>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</si>
  <si>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</si>
  <si>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</si>
  <si>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</si>
  <si>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</si>
  <si>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</si>
  <si>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</si>
  <si>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</si>
  <si>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</si>
  <si>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</si>
  <si>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</si>
  <si>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</si>
  <si>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</si>
  <si>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</si>
  <si>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</si>
  <si>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</si>
  <si>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</si>
  <si>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</si>
  <si>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</si>
  <si>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</si>
  <si>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</si>
  <si>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</si>
  <si>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</si>
  <si>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</si>
  <si>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</si>
  <si>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</si>
  <si>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</si>
  <si>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</si>
  <si>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</si>
  <si>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</si>
  <si>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</si>
  <si>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</si>
  <si>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2025-10-31</t>
  </si>
  <si>
    <t>2024-10-31</t>
  </si>
  <si>
    <t>2023-10-31</t>
  </si>
  <si>
    <t>2022-10-31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</si>
  <si>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</si>
  <si>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</si>
  <si>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</si>
  <si>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</si>
  <si>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</si>
  <si>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</si>
  <si>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</si>
  <si>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</si>
  <si>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</si>
  <si>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</si>
  <si>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</si>
  <si>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</si>
  <si>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</si>
  <si>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</si>
  <si>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</si>
  <si>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6.1% of the market price. A gap that size is a modelling failure rather than a view - most often an unusable beta, a currency or units mismatch, or a cashflow base that does not represent the business. Read the figures below as diagnostics, not as a call.</t>
  </si>
  <si>
    <t>Current EV/EBITDA of 110.3x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</si>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</sst>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0.09500526254009078</v>
      </c>
    </row>
    <row r="7" spans="1:2" x14ac:dyDescent="0.25">
      <c r="A7" t="s">
        <v>5</v>
      </c>
      <c r="B7" s="6">
        <v>0.06783290911245182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0.03341876611294704</v>
      </c>
    </row>
    <row r="10" spans="1:2" x14ac:dyDescent="0.25">
      <c r="A10" t="s">
        <v>8</v>
      </c>
      <c r="B10" s="6">
        <v>0.02819104688831564</v>
      </c>
    </row>
    <row r="11" spans="1:2" x14ac:dyDescent="0.25">
      <c r="A11" t="s">
        <v>9</v>
      </c>
      <c r="B11" s="6">
        <v>0.2765383725248524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0.11408010633348263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1.20703</v>
      </c>
      <c r="C19" s="8" t="s">
        <v>19</v>
      </c>
    </row>
    <row r="20" spans="1:2" x14ac:dyDescent="0.25">
      <c r="A20" t="s">
        <v>20</v>
      </c>
      <c r="B20" s="10">
        <f>B17+B19*B18</f>
        <v>0.11636665000000002</v>
      </c>
    </row>
    <row r="21" spans="1:3" x14ac:dyDescent="0.25">
      <c r="A21" t="s">
        <v>21</v>
      </c>
      <c r="B21" s="6">
        <v>0.05633482892019079</v>
      </c>
      <c r="C21" s="8" t="s">
        <v>22</v>
      </c>
    </row>
    <row r="22" spans="1:2" x14ac:dyDescent="0.25">
      <c r="A22" t="s">
        <v>23</v>
      </c>
      <c r="B22" s="11">
        <v>49462812672</v>
      </c>
    </row>
    <row r="23" spans="1:2" x14ac:dyDescent="0.25">
      <c r="A23" t="s">
        <v>24</v>
      </c>
      <c r="B23" s="11">
        <v>1625554000</v>
      </c>
    </row>
    <row r="24" spans="1:2" x14ac:dyDescent="0.25">
      <c r="A24" t="s">
        <v>25</v>
      </c>
      <c r="B24" s="10">
        <f>B22/(B22+B23)</f>
        <v>0.9681815233899244</v>
      </c>
    </row>
    <row r="25" spans="1:2" x14ac:dyDescent="0.25">
      <c r="A25" t="s">
        <v>26</v>
      </c>
      <c r="B25" s="10">
        <f>1-B24</f>
        <v>0.03181847661007564</v>
      </c>
    </row>
    <row r="26" spans="1:2" x14ac:dyDescent="0.25">
      <c r="A26" t="s">
        <v>27</v>
      </c>
      <c r="B26" s="12">
        <f>B24*B20+B25*B21*(1-B8)</f>
        <v>0.11408010633348263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4769507000</v>
      </c>
      <c r="C29" s="8" t="s">
        <v>30</v>
      </c>
    </row>
    <row r="30" spans="1:2" x14ac:dyDescent="0.25">
      <c r="A30" t="s">
        <v>31</v>
      </c>
      <c r="B30" s="11">
        <v>317454000</v>
      </c>
    </row>
    <row r="31" spans="1:2" x14ac:dyDescent="0.25">
      <c r="A31" t="s">
        <v>32</v>
      </c>
      <c r="B31" s="13">
        <v>145248000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0.09500526254009078</v>
      </c>
      <c r="C5" s="10">
        <f>Assumptions!B6</f>
        <v>0.09500526254009078</v>
      </c>
      <c r="D5" s="10">
        <f>Assumptions!B6</f>
        <v>0.09500526254009078</v>
      </c>
      <c r="E5" s="10">
        <f>Assumptions!B6</f>
        <v>0.09500526254009078</v>
      </c>
      <c r="F5" s="10">
        <f>Assumptions!B6</f>
        <v>0.09500526254009078</v>
      </c>
    </row>
    <row r="6" spans="1:6" x14ac:dyDescent="0.25">
      <c r="A6" t="s">
        <v>43</v>
      </c>
      <c r="B6" s="18">
        <f>Assumptions!B29*(1+B5)</f>
        <v>5222635264.721801</v>
      </c>
      <c r="C6" s="18">
        <f>B6*(1+C5)</f>
        <v>5718813099.197832</v>
      </c>
      <c r="D6" s="18">
        <f>C6*(1+D5)</f>
        <v>6262130439.104833</v>
      </c>
      <c r="E6" s="18">
        <f>D6*(1+E5)</f>
        <v>6857065785.532281</v>
      </c>
      <c r="F6" s="18">
        <f>E6*(1+F5)</f>
        <v>7508523120.741449</v>
      </c>
    </row>
    <row r="7" spans="1:6" x14ac:dyDescent="0.25">
      <c r="A7" t="s">
        <v>5</v>
      </c>
      <c r="B7" s="10">
        <f>Assumptions!B7</f>
        <v>0.06783290911245182</v>
      </c>
      <c r="C7" s="10">
        <f>Assumptions!B7</f>
        <v>0.06783290911245182</v>
      </c>
      <c r="D7" s="10">
        <f>Assumptions!B7</f>
        <v>0.06783290911245182</v>
      </c>
      <c r="E7" s="10">
        <f>Assumptions!B7</f>
        <v>0.06783290911245182</v>
      </c>
      <c r="F7" s="10">
        <f>Assumptions!B7</f>
        <v>0.06783290911245182</v>
      </c>
    </row>
    <row r="8" spans="1:6" x14ac:dyDescent="0.25">
      <c r="A8" t="s">
        <v>44</v>
      </c>
      <c r="B8" s="18">
        <f>B6*B7</f>
        <v>354266543.2393597</v>
      </c>
      <c r="C8" s="18">
        <f>C6*C7</f>
        <v>387923729.18898547</v>
      </c>
      <c r="D8" s="18">
        <f>D6*D7</f>
        <v>424778524.9261161</v>
      </c>
      <c r="E8" s="18">
        <f>E6*E7</f>
        <v>465134720.20811427</v>
      </c>
      <c r="F8" s="18">
        <f>F6*F7</f>
        <v>509324966.41799784</v>
      </c>
    </row>
    <row r="9" spans="1:6" x14ac:dyDescent="0.25">
      <c r="A9" t="s">
        <v>45</v>
      </c>
      <c r="B9" s="18">
        <f>B8*(1-Assumptions!B8)</f>
        <v>279870569.15909415</v>
      </c>
      <c r="C9" s="18">
        <f>C8*(1-Assumptions!B8)</f>
        <v>306459746.0592985</v>
      </c>
      <c r="D9" s="18">
        <f>D8*(1-Assumptions!B8)</f>
        <v>335575034.69163173</v>
      </c>
      <c r="E9" s="18">
        <f>E8*(1-Assumptions!B8)</f>
        <v>367456428.9644103</v>
      </c>
      <c r="F9" s="18">
        <f>F8*(1-Assumptions!B8)</f>
        <v>402366723.4702183</v>
      </c>
    </row>
    <row r="10" spans="1:6" x14ac:dyDescent="0.25">
      <c r="A10" t="s">
        <v>46</v>
      </c>
      <c r="B10" s="18">
        <f>B6*Assumptions!B9</f>
        <v>174534026.40496713</v>
      </c>
      <c r="C10" s="18">
        <f>C6*Assumptions!B9</f>
        <v>191115677.40575016</v>
      </c>
      <c r="D10" s="18">
        <f>D6*Assumptions!B9</f>
        <v>209272672.51321077</v>
      </c>
      <c r="E10" s="18">
        <f>E6*Assumptions!B9</f>
        <v>229154677.7077948</v>
      </c>
      <c r="F10" s="18">
        <f>F6*Assumptions!B9</f>
        <v>250925578.02571374</v>
      </c>
    </row>
    <row r="11" spans="1:6" x14ac:dyDescent="0.25">
      <c r="A11" t="s">
        <v>47</v>
      </c>
      <c r="B11" s="18">
        <f>-B6*Assumptions!B10</f>
        <v>-147231555.62834305</v>
      </c>
      <c r="C11" s="18">
        <f>-C6*Assumptions!B10</f>
        <v>-161219328.22499976</v>
      </c>
      <c r="D11" s="18">
        <f>-D6*Assumptions!B10</f>
        <v>-176536012.82955295</v>
      </c>
      <c r="E11" s="18">
        <f>-E6*Assumptions!B10</f>
        <v>-193307863.07620546</v>
      </c>
      <c r="F11" s="18">
        <f>-F6*Assumptions!B10</f>
        <v>-211673127.35882428</v>
      </c>
    </row>
    <row r="12" spans="1:6" x14ac:dyDescent="0.25">
      <c r="A12" t="s">
        <v>48</v>
      </c>
      <c r="B12" s="18">
        <f>-(B6-Assumptions!B29)*Assumptions!B11</f>
        <v>-125307352.87117729</v>
      </c>
      <c r="C12" s="18">
        <f>-(C6-B6)*Assumptions!B11</f>
        <v>-137212210.8289073</v>
      </c>
      <c r="D12" s="18">
        <f>-(D6-C6)*Assumptions!B11</f>
        <v>-150248092.942414</v>
      </c>
      <c r="E12" s="18">
        <f>-(E6-D6)*Assumptions!B11</f>
        <v>-164522452.45855582</v>
      </c>
      <c r="F12" s="18">
        <f>-(F6-E6)*Assumptions!B11</f>
        <v>-180152951.24812067</v>
      </c>
    </row>
    <row r="13" spans="1:6" x14ac:dyDescent="0.25">
      <c r="A13" s="19" t="s">
        <v>49</v>
      </c>
      <c r="B13" s="20">
        <f>B9+B10+B11+B12</f>
        <v>181865687.06454095</v>
      </c>
      <c r="C13" s="20">
        <f>C9+C10+C11+C12</f>
        <v>199143884.41114157</v>
      </c>
      <c r="D13" s="20">
        <f>D9+D10+D11+D12</f>
        <v>218063601.43287563</v>
      </c>
      <c r="E13" s="20">
        <f>E9+E10+E11+E12</f>
        <v>238780791.13744378</v>
      </c>
      <c r="F13" s="20">
        <f>F9+F10+F11+F12</f>
        <v>261466222.88898718</v>
      </c>
    </row>
    <row r="14" spans="1:6" x14ac:dyDescent="0.25">
      <c r="A14" t="s">
        <v>50</v>
      </c>
      <c r="B14" s="21">
        <f>1/(1+Assumptions!$B$26)^(1-0.5*Assumptions!$B$32)</f>
        <v>0.9474183462601994</v>
      </c>
      <c r="C14" s="21">
        <f>1/(1+Assumptions!$B$26)^(2-0.5*Assumptions!$B$32)</f>
        <v>0.8504041503606242</v>
      </c>
      <c r="D14" s="21">
        <f>1/(1+Assumptions!$B$26)^(3-0.5*Assumptions!$B$32)</f>
        <v>0.763324060384998</v>
      </c>
      <c r="E14" s="21">
        <f>1/(1+Assumptions!$B$26)^(4-0.5*Assumptions!$B$32)</f>
        <v>0.6851608390146666</v>
      </c>
      <c r="F14" s="21">
        <f>1/(1+Assumptions!$B$26)^(5-0.5*Assumptions!$B$32)</f>
        <v>0.6150014124833266</v>
      </c>
    </row>
    <row r="15" spans="1:6" x14ac:dyDescent="0.25">
      <c r="A15" s="19" t="s">
        <v>51</v>
      </c>
      <c r="B15" s="20">
        <f>B13*B14</f>
        <v>172302888.48016232</v>
      </c>
      <c r="C15" s="20">
        <f>C13*C14</f>
        <v>169352785.8221712</v>
      </c>
      <c r="D15" s="20">
        <f>D13*D14</f>
        <v>166453193.6679185</v>
      </c>
      <c r="E15" s="20">
        <f>E13*E14</f>
        <v>163603247.19631684</v>
      </c>
      <c r="F15" s="20">
        <f>F13*F14</f>
        <v>160802096.39340743</v>
      </c>
    </row>
    <row r="17" spans="1:2" x14ac:dyDescent="0.25">
      <c r="A17" s="22" t="s">
        <v>52</v>
      </c>
      <c r="B17" s="23">
        <f>SUM(B15:F15)</f>
        <v>832514211.5599763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261466222.88898718</v>
      </c>
    </row>
    <row r="5" spans="1:2" x14ac:dyDescent="0.25">
      <c r="A5" t="s">
        <v>56</v>
      </c>
      <c r="B5" s="18">
        <f>IF(Assumptions!$B$33=0,B4,B4-Forecast!F11-Forecast!F10-Forecast!F12)</f>
        <v>463478005.8432589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0.2191442557646221</v>
      </c>
    </row>
    <row r="7" spans="1:2" x14ac:dyDescent="0.25">
      <c r="A7" t="s">
        <v>58</v>
      </c>
      <c r="B7" s="18">
        <f>-MAX(Forecast!F9,0)*B6</f>
        <v>-101568542.65379214</v>
      </c>
    </row>
    <row r="8" spans="1:2" x14ac:dyDescent="0.25">
      <c r="A8" t="s">
        <v>59</v>
      </c>
      <c r="B8" s="18">
        <f>IF(OR(Assumptions!$B$33=0,Assumptions!B12&lt;=0),B5,MAX(B5+B7,0))</f>
        <v>361909463.1894668</v>
      </c>
    </row>
    <row r="9" spans="1:2" x14ac:dyDescent="0.25">
      <c r="A9" t="s">
        <v>60</v>
      </c>
      <c r="B9" s="18">
        <f>B8*(1+Assumptions!B12)/(Assumptions!B26-Assumptions!B12)</f>
        <v>4164310248.8054776</v>
      </c>
    </row>
    <row r="10" spans="1:2" x14ac:dyDescent="0.25">
      <c r="A10" t="s">
        <v>61</v>
      </c>
      <c r="B10" s="18">
        <f>B9/(1+Assumptions!B26)^(5-0.5*Assumptions!B32)</f>
        <v>2561056685.034162</v>
      </c>
    </row>
    <row r="11" spans="1:2" x14ac:dyDescent="0.25">
      <c r="A11" t="s">
        <v>62</v>
      </c>
      <c r="B11" s="18">
        <f>Forecast!B17+B10</f>
        <v>3393570896.594138</v>
      </c>
    </row>
    <row r="12" spans="1:2" x14ac:dyDescent="0.25">
      <c r="A12" t="s">
        <v>63</v>
      </c>
      <c r="B12" s="18">
        <f>-Assumptions!B30</f>
        <v>-317454000</v>
      </c>
    </row>
    <row r="13" spans="1:2" x14ac:dyDescent="0.25">
      <c r="A13" t="s">
        <v>64</v>
      </c>
      <c r="B13" s="18">
        <f>B11+B12</f>
        <v>3076116896.594138</v>
      </c>
    </row>
    <row r="14" spans="1:2" x14ac:dyDescent="0.25">
      <c r="A14" s="19" t="s">
        <v>65</v>
      </c>
      <c r="B14" s="24">
        <f>B13/Assumptions!B31</f>
        <v>21.178376959367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760250544.4437115</v>
      </c>
    </row>
    <row r="18" spans="1:2" x14ac:dyDescent="0.25">
      <c r="A18" t="s">
        <v>60</v>
      </c>
      <c r="B18" s="18">
        <f>B17*Assumptions!B13</f>
        <v>15205010888.87423</v>
      </c>
    </row>
    <row r="19" spans="1:2" x14ac:dyDescent="0.25">
      <c r="A19" t="s">
        <v>61</v>
      </c>
      <c r="B19" s="18">
        <f>B18/(1+Assumptions!B26)^(5-0.5*Assumptions!B32)</f>
        <v>9351103173.482014</v>
      </c>
    </row>
    <row r="20" spans="1:2" x14ac:dyDescent="0.25">
      <c r="A20" t="s">
        <v>62</v>
      </c>
      <c r="B20" s="18">
        <f>Forecast!B17+B19</f>
        <v>10183617385.04199</v>
      </c>
    </row>
    <row r="21" spans="1:2" x14ac:dyDescent="0.25">
      <c r="A21" t="s">
        <v>63</v>
      </c>
      <c r="B21" s="18">
        <f>-Assumptions!B30</f>
        <v>-317454000</v>
      </c>
    </row>
    <row r="22" spans="1:2" x14ac:dyDescent="0.25">
      <c r="A22" t="s">
        <v>64</v>
      </c>
      <c r="B22" s="18">
        <f>B20+B21</f>
        <v>9866163385.04199</v>
      </c>
    </row>
    <row r="23" spans="1:2" x14ac:dyDescent="0.25">
      <c r="A23" s="19" t="s">
        <v>65</v>
      </c>
      <c r="B23" s="25">
        <f>B22/Assumptions!B31</f>
        <v>67.92632865885926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348.8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21.178376959367</v>
      </c>
    </row>
    <row r="29" spans="1:2" x14ac:dyDescent="0.25">
      <c r="A29" s="19" t="s">
        <v>73</v>
      </c>
      <c r="B29" s="12">
        <f>B28/B26-1</f>
        <v>-0.9392821761486038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0.09408</v>
      </c>
      <c r="B5" s="31">
        <v>26.780143793700844</v>
      </c>
      <c r="C5" s="31">
        <v>26.893298027496513</v>
      </c>
      <c r="D5" s="31">
        <v>27.00645226129216</v>
      </c>
      <c r="E5" s="31">
        <v>27.119606495087822</v>
      </c>
      <c r="F5" s="31">
        <v>27.232760728883477</v>
      </c>
    </row>
    <row r="6" spans="1:6" x14ac:dyDescent="0.25">
      <c r="A6" s="30">
        <v>0.10408</v>
      </c>
      <c r="B6" s="31">
        <v>23.605760288842273</v>
      </c>
      <c r="C6" s="31">
        <v>23.703939434028552</v>
      </c>
      <c r="D6" s="31">
        <v>23.802118579214827</v>
      </c>
      <c r="E6" s="31">
        <v>23.900297724401092</v>
      </c>
      <c r="F6" s="31">
        <v>23.99847686958737</v>
      </c>
    </row>
    <row r="7" spans="1:6" x14ac:dyDescent="0.25">
      <c r="A7" s="30">
        <v>0.11408</v>
      </c>
      <c r="B7" s="31">
        <v>21.006379617840118</v>
      </c>
      <c r="C7" s="31">
        <v>21.092390967046953</v>
      </c>
      <c r="D7" s="32">
        <v>21.178402316253788</v>
      </c>
      <c r="E7" s="31">
        <v>21.26441366546063</v>
      </c>
      <c r="F7" s="31">
        <v>21.350425014667458</v>
      </c>
    </row>
    <row r="8" spans="1:6" x14ac:dyDescent="0.25">
      <c r="A8" s="30">
        <v>0.12408</v>
      </c>
      <c r="B8" s="31">
        <v>18.84203099181454</v>
      </c>
      <c r="C8" s="31">
        <v>18.917993569709324</v>
      </c>
      <c r="D8" s="31">
        <v>18.993956147604106</v>
      </c>
      <c r="E8" s="31">
        <v>19.06991872549889</v>
      </c>
      <c r="F8" s="31">
        <v>19.145881303393672</v>
      </c>
    </row>
    <row r="9" spans="1:6" x14ac:dyDescent="0.25">
      <c r="A9" s="30">
        <v>0.13408</v>
      </c>
      <c r="B9" s="31">
        <v>17.014557112045292</v>
      </c>
      <c r="C9" s="31">
        <v>17.082107579665387</v>
      </c>
      <c r="D9" s="31">
        <v>17.14965804728547</v>
      </c>
      <c r="E9" s="31">
        <v>17.217208514905565</v>
      </c>
      <c r="F9" s="31">
        <v>17.284758982525656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4769507000</v>
      </c>
      <c r="C5" s="18">
        <v>4014955000</v>
      </c>
      <c r="D5" s="18">
        <v>4386549000</v>
      </c>
      <c r="E5" s="18">
        <v>3632661000</v>
      </c>
      <c r="F5" s="8" t="s">
        <v>84</v>
      </c>
    </row>
    <row r="6" spans="1:6" x14ac:dyDescent="0.25">
      <c r="A6" t="s">
        <v>44</v>
      </c>
      <c r="B6" s="18">
        <v>310792000</v>
      </c>
      <c r="C6" s="18">
        <v>191209000</v>
      </c>
      <c r="D6" s="18">
        <v>384853000</v>
      </c>
      <c r="E6" s="18">
        <v>257230000</v>
      </c>
      <c r="F6" s="8" t="s">
        <v>85</v>
      </c>
    </row>
    <row r="7" spans="1:6" x14ac:dyDescent="0.25">
      <c r="A7" t="s">
        <v>86</v>
      </c>
      <c r="B7" s="18">
        <v>140338000</v>
      </c>
      <c r="C7" s="18">
        <v>133470000</v>
      </c>
      <c r="D7" s="18">
        <v>142180000</v>
      </c>
      <c r="E7" s="18">
        <v>140203000</v>
      </c>
      <c r="F7" s="8" t="s">
        <v>87</v>
      </c>
    </row>
    <row r="8" spans="1:6" x14ac:dyDescent="0.25">
      <c r="A8" t="s">
        <v>88</v>
      </c>
      <c r="B8" s="18">
        <v>140801000</v>
      </c>
      <c r="C8" s="18">
        <v>136641000</v>
      </c>
      <c r="D8" s="18">
        <v>106197000</v>
      </c>
      <c r="E8" s="18">
        <v>90818000</v>
      </c>
      <c r="F8" s="8" t="s">
        <v>89</v>
      </c>
    </row>
    <row r="9" spans="1:6" x14ac:dyDescent="0.25">
      <c r="A9" t="s">
        <v>90</v>
      </c>
      <c r="B9" s="18">
        <v>-219835000</v>
      </c>
      <c r="C9" s="18">
        <v>-102760000</v>
      </c>
      <c r="D9" s="18">
        <v>396751000</v>
      </c>
      <c r="E9" s="18">
        <v>572114000</v>
      </c>
      <c r="F9" s="8" t="s">
        <v>91</v>
      </c>
    </row>
    <row r="10" spans="1:6" x14ac:dyDescent="0.25">
      <c r="A10" t="s">
        <v>92</v>
      </c>
      <c r="B10" s="18">
        <v>1625554000</v>
      </c>
      <c r="C10" s="18">
        <v>1632253000</v>
      </c>
      <c r="D10" s="18">
        <v>1657165000</v>
      </c>
      <c r="E10" s="18">
        <v>1186306000</v>
      </c>
      <c r="F10" s="8" t="s">
        <v>93</v>
      </c>
    </row>
    <row r="11" spans="1:6" x14ac:dyDescent="0.25">
      <c r="A11" t="s">
        <v>94</v>
      </c>
      <c r="B11" s="18">
        <v>1308100000</v>
      </c>
      <c r="C11" s="18">
        <v>1251206000</v>
      </c>
      <c r="D11" s="18">
        <v>1115371000</v>
      </c>
      <c r="E11" s="18">
        <v>1148341000</v>
      </c>
      <c r="F11" s="8" t="s">
        <v>95</v>
      </c>
    </row>
    <row r="12" spans="1:6" x14ac:dyDescent="0.25">
      <c r="A12" t="s">
        <v>32</v>
      </c>
      <c r="B12" s="34">
        <v>145248000</v>
      </c>
      <c r="C12" s="34">
        <v>145964000</v>
      </c>
      <c r="D12" s="34">
        <v>149380000</v>
      </c>
      <c r="E12" s="34">
        <v>152193000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2026-09-19T00:06:43Z</dcterms:modified>
</cp:coreProperties>
</file>