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<sst xmlns="http://schemas.openxmlformats.org/spreadsheetml/2006/main" count="121" uniqueCount="108">
  <si>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Ciena Corporation (CIEN)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</si>
  <si>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</si>
  <si>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</si>
  <si>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</si>
  <si>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</si>
  <si>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</si>
  <si>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</si>
  <si>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</si>
  <si>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</si>
  <si>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</si>
  <si>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</si>
  <si>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</si>
  <si>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</si>
  <si>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</si>
  <si>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</si>
  <si>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</si>
  <si>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</si>
  <si>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</si>
  <si>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</si>
  <si>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</si>
  <si>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</si>
  <si>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</si>
  <si>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</si>
  <si>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</si>
  <si>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3.4x interest cover. Book interest / average debt was lower, at 5.6%.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</si>
  <si>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</si>
  <si>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</si>
  <si>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</si>
  <si>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</si>
  <si>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</si>
  <si>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</si>
  <si>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</si>
  <si>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</si>
  <si>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</si>
  <si>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</si>
  <si>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</si>
  <si>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</si>
  <si>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</si>
  <si>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</si>
  <si>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</si>
  <si>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</si>
  <si>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</si>
  <si>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</si>
  <si>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</si>
  <si>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</si>
  <si>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</si>
  <si>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</si>
  <si>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</si>
  <si>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</si>
  <si>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</si>
  <si>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</si>
  <si>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</si>
  <si>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</si>
  <si>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</si>
  <si>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</si>
  <si>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</si>
  <si>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</si>
  <si>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</si>
  <si>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</si>
  <si>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</si>
  <si>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</si>
  <si>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</si>
  <si>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</si>
  <si>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</si>
  <si>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</si>
  <si>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</si>
  <si>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</si>
  <si>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</si>
  <si>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</si>
  <si>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</si>
  <si>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</si>
  <si>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</si>
  <si>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</si>
  <si>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</si>
  <si>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</si>
  <si>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</si>
  <si>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</si>
  <si>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</si>
  <si>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</si>
  <si>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</si>
  <si>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</si>
  <si>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</si>
  <si>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</si>
  <si>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</si>
  <si>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</si>
  <si>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</si>
  <si>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</si>
  <si>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</si>
  <si>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</si>
  <si>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</si>
  <si>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</si>
  <si>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</si>
  <si>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</si>
  <si>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</si>
  <si>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</si>
  <si>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</si>
  <si>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</si>
  <si>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</si>
  <si>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</si>
  <si>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</si>
  <si>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</si>
  <si>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</si>
  <si>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</si>
  <si>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</si>
  <si>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</si>
  <si>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</si>
  <si>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Current EV/EBITDA of 101.5x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</si>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</sst>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0.3477481907459199</v>
      </c>
    </row>
    <row r="7" spans="1:2" x14ac:dyDescent="0.25">
      <c r="A7" t="s">
        <v>4</v>
      </c>
      <c r="B7" s="5">
        <v>0.06783290911245182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0.03341876611294704</v>
      </c>
    </row>
    <row r="10" spans="1:3" x14ac:dyDescent="0.25">
      <c r="A10" t="s">
        <v>7</v>
      </c>
      <c r="B10" s="5">
        <v>0.02819104688831564</v>
      </c>
      <c r="C10" s="6" t="s">
        <v>8</v>
      </c>
    </row>
    <row r="11" spans="1:2" x14ac:dyDescent="0.25">
      <c r="A11" t="s">
        <v>9</v>
      </c>
      <c r="B11" s="5">
        <v>0.3486098137284641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0.09757618661066539</v>
      </c>
      <c r="C14" s="6" t="s">
        <v>13</v>
      </c>
    </row>
    <row r="15" spans="1:3" x14ac:dyDescent="0.25">
      <c r="A15" t="s">
        <v>14</v>
      </c>
      <c r="B15" s="5">
        <v>0.023116333478349058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1.19363</v>
      </c>
      <c r="C19" s="6" t="s">
        <v>21</v>
      </c>
    </row>
    <row r="20" spans="1:2" x14ac:dyDescent="0.25">
      <c r="A20" t="s">
        <v>22</v>
      </c>
      <c r="B20" s="9">
        <f>B17+B19*B18</f>
        <v>0.09943054900000001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45480833024</v>
      </c>
    </row>
    <row r="23" spans="1:2" x14ac:dyDescent="0.25">
      <c r="A23" t="s">
        <v>26</v>
      </c>
      <c r="B23" s="10">
        <v>1625554000</v>
      </c>
    </row>
    <row r="24" spans="1:2" x14ac:dyDescent="0.25">
      <c r="A24" t="s">
        <v>27</v>
      </c>
      <c r="B24" s="9">
        <f>B22/(B22+B23)</f>
        <v>0.9654918557185928</v>
      </c>
    </row>
    <row r="25" spans="1:2" x14ac:dyDescent="0.25">
      <c r="A25" t="s">
        <v>28</v>
      </c>
      <c r="B25" s="9">
        <f>1-B24</f>
        <v>0.03450814428140725</v>
      </c>
    </row>
    <row r="26" spans="1:2" x14ac:dyDescent="0.25">
      <c r="A26" t="s">
        <v>29</v>
      </c>
      <c r="B26" s="11">
        <f>B24*B20+B25*B21*(1-B8)</f>
        <v>0.09757618661066539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4769507000</v>
      </c>
      <c r="C29" s="6" t="s">
        <v>32</v>
      </c>
    </row>
    <row r="30" spans="1:2" x14ac:dyDescent="0.25">
      <c r="A30" t="s">
        <v>33</v>
      </c>
      <c r="B30" s="10">
        <v>317454000</v>
      </c>
    </row>
    <row r="31" spans="1:2" x14ac:dyDescent="0.25">
      <c r="A31" t="s">
        <v>34</v>
      </c>
      <c r="B31" s="12">
        <v>145248000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0.3477481907459199</v>
      </c>
      <c r="C5" s="5">
        <v>0.311514300514095</v>
      </c>
      <c r="D5" s="5">
        <v>0.27570001294983315</v>
      </c>
      <c r="E5" s="5">
        <v>0.23988572538557126</v>
      </c>
      <c r="F5" s="5">
        <v>0.20407143782130938</v>
      </c>
      <c r="G5" s="5">
        <v>0.16825715025704752</v>
      </c>
      <c r="H5" s="5">
        <v>0.13244286269278566</v>
      </c>
      <c r="I5" s="5">
        <v>0.09662857512852377</v>
      </c>
      <c r="J5" s="5">
        <v>0.06081428756426188</v>
      </c>
      <c r="K5" s="5">
        <v>0.025000000000000022</v>
      </c>
    </row>
    <row r="6" spans="1:11" x14ac:dyDescent="0.25">
      <c r="A6" t="s">
        <v>50</v>
      </c>
      <c r="B6" s="18">
        <f>Assumptions!B29*(1+B5)</f>
        <v>6428094430</v>
      </c>
      <c r="C6" s="18">
        <f>B6*(1+C5)</f>
        <v>8430537770</v>
      </c>
      <c r="D6" s="18">
        <f>C6*(1+D5)</f>
        <v>10754837142.363058</v>
      </c>
      <c r="E6" s="18">
        <f>D6*(1+E5)</f>
        <v>13334769051.662504</v>
      </c>
      <c r="F6" s="18">
        <f>E6*(1+F5)</f>
        <v>16056014545.05037</v>
      </c>
      <c r="G6" s="18">
        <f>F6*(1+G5)</f>
        <v>18757553796.88625</v>
      </c>
      <c r="H6" s="18">
        <f>G6*(1+H5)</f>
        <v>21241857918.859795</v>
      </c>
      <c r="I6" s="18">
        <f>H6*(1+I5)</f>
        <v>23294428382.64177</v>
      </c>
      <c r="J6" s="18">
        <f>I6*(1+J5)</f>
        <v>24711062448.94885</v>
      </c>
      <c r="K6" s="18">
        <f>J6*(1+K5)</f>
        <v>25328839010.17257</v>
      </c>
    </row>
    <row r="7" spans="1:11" x14ac:dyDescent="0.25">
      <c r="A7" t="s">
        <v>4</v>
      </c>
      <c r="B7" s="9">
        <f>Assumptions!B7</f>
        <v>0.06783290911245182</v>
      </c>
      <c r="C7" s="9">
        <f>Assumptions!B7</f>
        <v>0.06783290911245182</v>
      </c>
      <c r="D7" s="9">
        <f>Assumptions!B7</f>
        <v>0.06783290911245182</v>
      </c>
      <c r="E7" s="9">
        <f>Assumptions!B7</f>
        <v>0.06783290911245182</v>
      </c>
      <c r="F7" s="9">
        <f>Assumptions!B7</f>
        <v>0.06783290911245182</v>
      </c>
      <c r="G7" s="9">
        <f>Assumptions!B7</f>
        <v>0.06783290911245182</v>
      </c>
      <c r="H7" s="9">
        <f>Assumptions!B7</f>
        <v>0.06783290911245182</v>
      </c>
      <c r="I7" s="9">
        <f>Assumptions!B7</f>
        <v>0.06783290911245182</v>
      </c>
      <c r="J7" s="9">
        <f>Assumptions!B7</f>
        <v>0.06783290911245182</v>
      </c>
      <c r="K7" s="9">
        <f>Assumptions!B7</f>
        <v>0.06783290911245182</v>
      </c>
    </row>
    <row r="8" spans="1:11" x14ac:dyDescent="0.25">
      <c r="A8" t="s">
        <v>51</v>
      </c>
      <c r="B8" s="18">
        <f>B6*B7</f>
        <v>436036345.2364478</v>
      </c>
      <c r="C8" s="18">
        <f>C6*C7</f>
        <v>571867902.3215022</v>
      </c>
      <c r="D8" s="18">
        <f>D6*D7</f>
        <v>729531890.3971344</v>
      </c>
      <c r="E8" s="18">
        <f>E6*E7</f>
        <v>904536177.116958</v>
      </c>
      <c r="F8" s="18">
        <f>F6*F7</f>
        <v>1089126175.3426063</v>
      </c>
      <c r="G8" s="18">
        <f>G6*G7</f>
        <v>1272379441.8761106</v>
      </c>
      <c r="H8" s="18">
        <f>H6*H7</f>
        <v>1440897017.5896316</v>
      </c>
      <c r="I8" s="18">
        <f>I6*I7</f>
        <v>1580128843.3062572</v>
      </c>
      <c r="J8" s="18">
        <f>J6*J7</f>
        <v>1676223253.1716683</v>
      </c>
      <c r="K8" s="18">
        <f>K6*K7</f>
        <v>1718128834.50096</v>
      </c>
    </row>
    <row r="9" spans="1:11" x14ac:dyDescent="0.25">
      <c r="A9" t="s">
        <v>52</v>
      </c>
      <c r="B9" s="18">
        <f>B8*(1-Assumptions!B8)</f>
        <v>344468712.73679376</v>
      </c>
      <c r="C9" s="18">
        <f>C8*(1-Assumptions!B8)</f>
        <v>451775642.83398676</v>
      </c>
      <c r="D9" s="18">
        <f>D8*(1-Assumptions!B8)</f>
        <v>576330193.4137362</v>
      </c>
      <c r="E9" s="18">
        <f>E8*(1-Assumptions!B8)</f>
        <v>714583579.9223969</v>
      </c>
      <c r="F9" s="18">
        <f>F8*(1-Assumptions!B8)</f>
        <v>860409678.520659</v>
      </c>
      <c r="G9" s="18">
        <f>G8*(1-Assumptions!B8)</f>
        <v>1005179759.0821273</v>
      </c>
      <c r="H9" s="18">
        <f>H8*(1-Assumptions!B8)</f>
        <v>1138308643.895809</v>
      </c>
      <c r="I9" s="18">
        <f>I8*(1-Assumptions!B8)</f>
        <v>1248301786.2119434</v>
      </c>
      <c r="J9" s="18">
        <f>J8*(1-Assumptions!B8)</f>
        <v>1324216370.005618</v>
      </c>
      <c r="K9" s="18">
        <f>K8*(1-Assumptions!B8)</f>
        <v>1357321779.2557585</v>
      </c>
    </row>
    <row r="10" spans="1:11" x14ac:dyDescent="0.25">
      <c r="A10" t="s">
        <v>53</v>
      </c>
      <c r="B10" s="18">
        <f>B6*Assumptions!B9</f>
        <v>214818984.30810764</v>
      </c>
      <c r="C10" s="18">
        <f>C6*Assumptions!B9</f>
        <v>281738169.94199616</v>
      </c>
      <c r="D10" s="18">
        <f>D6*Assumptions!B9</f>
        <v>359413387.0434668</v>
      </c>
      <c r="E10" s="18">
        <f>E6*Assumptions!B9</f>
        <v>445631528.1076739</v>
      </c>
      <c r="F10" s="18">
        <f>F6*Assumptions!B9</f>
        <v>536572194.78711414</v>
      </c>
      <c r="G10" s="18">
        <f>G6*Assumptions!B9</f>
        <v>626854303.1891633</v>
      </c>
      <c r="H10" s="18">
        <f>H6*Assumptions!B9</f>
        <v>709876681.5948275</v>
      </c>
      <c r="I10" s="18">
        <f>I6*Assumptions!B9</f>
        <v>778471053.8543006</v>
      </c>
      <c r="J10" s="18">
        <f>J6*Assumptions!B9</f>
        <v>825813216.38385</v>
      </c>
      <c r="K10" s="18">
        <f>K6*Assumptions!B9</f>
        <v>846458546.7934462</v>
      </c>
    </row>
    <row r="11" spans="1:11" x14ac:dyDescent="0.25">
      <c r="A11" t="s">
        <v>54</v>
      </c>
      <c r="B11" s="18">
        <f>-B6*B19</f>
        <v>-181214711.4786506</v>
      </c>
      <c r="C11" s="18">
        <f>-C6*C19</f>
        <v>-247726449.60208553</v>
      </c>
      <c r="D11" s="18">
        <f>-D6*D19</f>
        <v>-328859151.7742378</v>
      </c>
      <c r="E11" s="18">
        <f>-E6*E19</f>
        <v>-423661102.13078785</v>
      </c>
      <c r="F11" s="18">
        <f>-F6*F19</f>
        <v>-529279023.5624401</v>
      </c>
      <c r="G11" s="18">
        <f>-G6*G19</f>
        <v>-640718735.0478305</v>
      </c>
      <c r="H11" s="18">
        <f>-H6*H19</f>
        <v>-750926787.6810557</v>
      </c>
      <c r="I11" s="18">
        <f>-I6*I19</f>
        <v>-851286681.6053408</v>
      </c>
      <c r="J11" s="18">
        <f>-J6*J19</f>
        <v>-932546553.874643</v>
      </c>
      <c r="K11" s="18">
        <f>-K6*K19</f>
        <v>-986086933.9164009</v>
      </c>
    </row>
    <row r="12" spans="1:11" x14ac:dyDescent="0.25">
      <c r="A12" t="s">
        <v>55</v>
      </c>
      <c r="B12" s="18">
        <f>-(B6-Assumptions!B29)*Assumptions!B11</f>
        <v>-578199855.024672</v>
      </c>
      <c r="C12" s="18">
        <f>-(C6-B6)*Assumptions!B11</f>
        <v>-698071399.7592036</v>
      </c>
      <c r="D12" s="18">
        <f>-(D6-C6)*Assumptions!B11</f>
        <v>-810273571.2486718</v>
      </c>
      <c r="E12" s="18">
        <f>-(E6-D6)*Assumptions!B11</f>
        <v>-899389582.3330007</v>
      </c>
      <c r="F12" s="18">
        <f>-(F6-E6)*Assumptions!B11</f>
        <v>-948652884.5593661</v>
      </c>
      <c r="G12" s="18">
        <f>-(G6-F6)*Assumptions!B11</f>
        <v>-941783095.3626405</v>
      </c>
      <c r="H12" s="18">
        <f>-(H6-G6)*Assumptions!B11</f>
        <v>-866052797.2060531</v>
      </c>
      <c r="I12" s="18">
        <f>-(I6-H6)*Assumptions!B11</f>
        <v>-715546207.0435815</v>
      </c>
      <c r="J12" s="18">
        <f>-(J6-I6)*Assumptions!B11</f>
        <v>-493852537.9767076</v>
      </c>
      <c r="K12" s="18">
        <f>-(K6-J6)*Assumptions!B11</f>
        <v>-215362971.93401232</v>
      </c>
    </row>
    <row r="13" spans="1:11" x14ac:dyDescent="0.25">
      <c r="A13" s="19" t="s">
        <v>56</v>
      </c>
      <c r="B13" s="20">
        <f>B9+B10+B11+B12</f>
        <v>-200126869.45842123</v>
      </c>
      <c r="C13" s="20">
        <f>C9+C10+C11+C12</f>
        <v>-212284036.58530623</v>
      </c>
      <c r="D13" s="20">
        <f>D9+D10+D11+D12</f>
        <v>-203389142.5657065</v>
      </c>
      <c r="E13" s="20">
        <f>E9+E10+E11+E12</f>
        <v>-162835576.43371773</v>
      </c>
      <c r="F13" s="20">
        <f>F9+F10+F11+F12</f>
        <v>-80950034.81403315</v>
      </c>
      <c r="G13" s="20">
        <f>G9+G10+G11+G12</f>
        <v>49532231.86081982</v>
      </c>
      <c r="H13" s="20">
        <f>H9+H10+H11+H12</f>
        <v>231205740.60352767</v>
      </c>
      <c r="I13" s="20">
        <f>I9+I10+I11+I12</f>
        <v>459939951.4173217</v>
      </c>
      <c r="J13" s="20">
        <f>J9+J10+J11+J12</f>
        <v>723630494.5381178</v>
      </c>
      <c r="K13" s="20">
        <f>K9+K10+K11+K12</f>
        <v>1002330420.1987916</v>
      </c>
    </row>
    <row r="14" spans="1:11" x14ac:dyDescent="0.25">
      <c r="A14" t="s">
        <v>57</v>
      </c>
      <c r="B14" s="21">
        <f>1/(1+Assumptions!$B$26)^(1-0.5*Assumptions!$B$32)</f>
        <v>0.9545147899731303</v>
      </c>
      <c r="C14" s="21">
        <f>1/(1+Assumptions!$B$26)^(2-0.5*Assumptions!$B$32)</f>
        <v>0.8696569783649268</v>
      </c>
      <c r="D14" s="21">
        <f>1/(1+Assumptions!$B$26)^(3-0.5*Assumptions!$B$32)</f>
        <v>0.7923431548295912</v>
      </c>
      <c r="E14" s="21">
        <f>1/(1+Assumptions!$B$26)^(4-0.5*Assumptions!$B$32)</f>
        <v>0.7219026473928527</v>
      </c>
      <c r="F14" s="21">
        <f>1/(1+Assumptions!$B$26)^(5-0.5*Assumptions!$B$32)</f>
        <v>0.657724407835506</v>
      </c>
      <c r="G14" s="21">
        <f>1/(1+Assumptions!$B$26)^(6-0.5*Assumptions!$B$32)</f>
        <v>0.5992517110512123</v>
      </c>
      <c r="H14" s="21">
        <f>1/(1+Assumptions!$B$26)^(7-0.5*Assumptions!$B$32)</f>
        <v>0.5459773256394275</v>
      </c>
      <c r="I14" s="21">
        <f>1/(1+Assumptions!$B$26)^(8-0.5*Assumptions!$B$32)</f>
        <v>0.49743911383993766</v>
      </c>
      <c r="J14" s="21">
        <f>1/(1+Assumptions!$B$26)^(9-0.5*Assumptions!$B$32)</f>
        <v>0.45321602263988464</v>
      </c>
      <c r="K14" s="21">
        <f>1/(1+Assumptions!$B$26)^(10-0.5*Assumptions!$B$32)</f>
        <v>0.41292443127745304</v>
      </c>
    </row>
    <row r="15" spans="1:11" x14ac:dyDescent="0.25">
      <c r="A15" s="19" t="s">
        <v>58</v>
      </c>
      <c r="B15" s="20">
        <f>B13*B14</f>
        <v>-191024056.76908502</v>
      </c>
      <c r="C15" s="20">
        <f>C13*C14</f>
        <v>-184614293.811887</v>
      </c>
      <c r="D15" s="20">
        <f>D13*D14</f>
        <v>-161153994.87859738</v>
      </c>
      <c r="E15" s="20">
        <f>E13*E14</f>
        <v>-117551433.71724205</v>
      </c>
      <c r="F15" s="20">
        <f>F13*F14</f>
        <v>-53242813.71232355</v>
      </c>
      <c r="G15" s="20">
        <f>G13*G14</f>
        <v>29682274.69478165</v>
      </c>
      <c r="H15" s="20">
        <f>H13*H14</f>
        <v>126233091.92719722</v>
      </c>
      <c r="I15" s="20">
        <f>I13*I14</f>
        <v>228792121.8526165</v>
      </c>
      <c r="J15" s="20">
        <f>J13*J14</f>
        <v>327960934.5954985</v>
      </c>
      <c r="K15" s="20">
        <f>K13*K14</f>
        <v>413886718.7126766</v>
      </c>
    </row>
    <row r="17" spans="1:2" x14ac:dyDescent="0.25">
      <c r="A17" s="22" t="s">
        <v>59</v>
      </c>
      <c r="B17" s="23">
        <f>SUM(B15:K15)</f>
        <v>418968548.89363545</v>
      </c>
    </row>
    <row r="19" spans="1:11" x14ac:dyDescent="0.25">
      <c r="A19" t="s">
        <v>7</v>
      </c>
      <c r="B19" s="9">
        <f>Assumptions!$B$10+($B$20-Assumptions!$B$10)*0/9</f>
        <v>0.02819104688831564</v>
      </c>
      <c r="C19" s="9">
        <f>Assumptions!$B$10+($B$20-Assumptions!$B$10)*1/9</f>
        <v>0.029384418451171415</v>
      </c>
      <c r="D19" s="9">
        <f>Assumptions!$B$10+($B$20-Assumptions!$B$10)*2/9</f>
        <v>0.03057779001402719</v>
      </c>
      <c r="E19" s="9">
        <f>Assumptions!$B$10+($B$20-Assumptions!$B$10)*3/9</f>
        <v>0.031771161576882964</v>
      </c>
      <c r="F19" s="9">
        <f>Assumptions!$B$10+($B$20-Assumptions!$B$10)*4/9</f>
        <v>0.03296453313973874</v>
      </c>
      <c r="G19" s="9">
        <f>Assumptions!$B$10+($B$20-Assumptions!$B$10)*5/9</f>
        <v>0.03415790470259452</v>
      </c>
      <c r="H19" s="9">
        <f>Assumptions!$B$10+($B$20-Assumptions!$B$10)*6/9</f>
        <v>0.035351276265450295</v>
      </c>
      <c r="I19" s="9">
        <f>Assumptions!$B$10+($B$20-Assumptions!$B$10)*7/9</f>
        <v>0.03654464782830607</v>
      </c>
      <c r="J19" s="9">
        <f>Assumptions!$B$10+($B$20-Assumptions!$B$10)*8/9</f>
        <v>0.037738019391161844</v>
      </c>
      <c r="K19" s="9">
        <f>Assumptions!$B$10+($B$20-Assumptions!$B$10)*9/9</f>
        <v>0.03893139095401762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0.03893139095401762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1002330420.1987916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1563471218.771514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0.25621005358358023</v>
      </c>
    </row>
    <row r="7" spans="1:2" x14ac:dyDescent="0.25">
      <c r="A7" t="s">
        <v>66</v>
      </c>
      <c r="B7" s="18">
        <f>-MAX(B5,0)*B6</f>
        <v>-400577044.73783505</v>
      </c>
    </row>
    <row r="8" spans="1:2" x14ac:dyDescent="0.25">
      <c r="A8" t="s">
        <v>67</v>
      </c>
      <c r="B8" s="18">
        <f>IF(OR(Assumptions!$B$33=0,Assumptions!B12&lt;=0),B5,MAX(B5+B7,0))</f>
        <v>1162894174.033679</v>
      </c>
    </row>
    <row r="9" spans="1:2" x14ac:dyDescent="0.25">
      <c r="A9" t="s">
        <v>68</v>
      </c>
      <c r="B9" s="18">
        <f>B8*(1+Assumptions!B12)/(Assumptions!B26-Assumptions!B12)</f>
        <v>16423658834.251234</v>
      </c>
    </row>
    <row r="10" spans="1:2" x14ac:dyDescent="0.25">
      <c r="A10" t="s">
        <v>69</v>
      </c>
      <c r="B10" s="18">
        <f>B9/(1+Assumptions!B26)^(10-0.5*Assumptions!B32)</f>
        <v>6781729983.628108</v>
      </c>
    </row>
    <row r="11" spans="1:2" x14ac:dyDescent="0.25">
      <c r="A11" t="s">
        <v>70</v>
      </c>
      <c r="B11" s="18">
        <f>Forecast!B17+B10</f>
        <v>7200698532.521744</v>
      </c>
    </row>
    <row r="12" spans="1:2" x14ac:dyDescent="0.25">
      <c r="A12" t="s">
        <v>71</v>
      </c>
      <c r="B12" s="18">
        <f>-Assumptions!B30</f>
        <v>-317454000</v>
      </c>
    </row>
    <row r="13" spans="1:2" x14ac:dyDescent="0.25">
      <c r="A13" t="s">
        <v>72</v>
      </c>
      <c r="B13" s="18">
        <f>B11+B12</f>
        <v>6883244532.521744</v>
      </c>
    </row>
    <row r="14" spans="1:2" x14ac:dyDescent="0.25">
      <c r="A14" s="19" t="s">
        <v>73</v>
      </c>
      <c r="B14" s="24">
        <f>B13/Assumptions!B31</f>
        <v>47.38959939222395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2564587381.2944064</v>
      </c>
    </row>
    <row r="18" spans="1:2" x14ac:dyDescent="0.25">
      <c r="A18" t="s">
        <v>68</v>
      </c>
      <c r="B18" s="18">
        <f>B17*Assumptions!B13</f>
        <v>51291747625.88813</v>
      </c>
    </row>
    <row r="19" spans="1:2" x14ac:dyDescent="0.25">
      <c r="A19" t="s">
        <v>69</v>
      </c>
      <c r="B19" s="18">
        <f>B18/(1+Assumptions!B26)^(10-0.5*Assumptions!B32)</f>
        <v>21179615717.646507</v>
      </c>
    </row>
    <row r="20" spans="1:2" x14ac:dyDescent="0.25">
      <c r="A20" t="s">
        <v>70</v>
      </c>
      <c r="B20" s="18">
        <f>Forecast!B17+B19</f>
        <v>21598584266.540142</v>
      </c>
    </row>
    <row r="21" spans="1:2" x14ac:dyDescent="0.25">
      <c r="A21" t="s">
        <v>71</v>
      </c>
      <c r="B21" s="18">
        <f>-Assumptions!B30</f>
        <v>-317454000</v>
      </c>
    </row>
    <row r="22" spans="1:2" x14ac:dyDescent="0.25">
      <c r="A22" t="s">
        <v>72</v>
      </c>
      <c r="B22" s="18">
        <f>B20+B21</f>
        <v>21281130266.540142</v>
      </c>
    </row>
    <row r="23" spans="1:2" x14ac:dyDescent="0.25">
      <c r="A23" s="19" t="s">
        <v>73</v>
      </c>
      <c r="B23" s="25">
        <f>B22/Assumptions!B31</f>
        <v>146.51582305119618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320.72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47.38959939222395</v>
      </c>
    </row>
    <row r="29" spans="1:2" x14ac:dyDescent="0.25">
      <c r="A29" s="19" t="s">
        <v>81</v>
      </c>
      <c r="B29" s="11">
        <f>B28/B26-1</f>
        <v>-0.8522399619848343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0.077576</v>
      </c>
      <c r="B5" s="31">
        <v>72.70168103423677</v>
      </c>
      <c r="C5" s="31">
        <v>71.36093595366658</v>
      </c>
      <c r="D5" s="31">
        <v>70.02019087309638</v>
      </c>
      <c r="E5" s="31">
        <v>68.6794457925262</v>
      </c>
      <c r="F5" s="31">
        <v>67.33870071195598</v>
      </c>
    </row>
    <row r="6" spans="1:6" x14ac:dyDescent="0.25">
      <c r="A6" s="30">
        <v>0.087576</v>
      </c>
      <c r="B6" s="31">
        <v>59.49736089345326</v>
      </c>
      <c r="C6" s="31">
        <v>58.377519127809116</v>
      </c>
      <c r="D6" s="31">
        <v>57.25767736216494</v>
      </c>
      <c r="E6" s="31">
        <v>56.13783559652077</v>
      </c>
      <c r="F6" s="31">
        <v>55.0179938308766</v>
      </c>
    </row>
    <row r="7" spans="1:6" x14ac:dyDescent="0.25">
      <c r="A7" s="30">
        <v>0.097576</v>
      </c>
      <c r="B7" s="31">
        <v>49.28671579061023</v>
      </c>
      <c r="C7" s="31">
        <v>48.33823900033495</v>
      </c>
      <c r="D7" s="32">
        <v>47.38976221005964</v>
      </c>
      <c r="E7" s="31">
        <v>46.44128541978434</v>
      </c>
      <c r="F7" s="31">
        <v>45.49280862950906</v>
      </c>
    </row>
    <row r="8" spans="1:6" x14ac:dyDescent="0.25">
      <c r="A8" s="30">
        <v>0.107576</v>
      </c>
      <c r="B8" s="31">
        <v>41.2136621048595</v>
      </c>
      <c r="C8" s="31">
        <v>40.40113890591561</v>
      </c>
      <c r="D8" s="31">
        <v>39.588615706971716</v>
      </c>
      <c r="E8" s="31">
        <v>38.77609250802783</v>
      </c>
      <c r="F8" s="31">
        <v>37.963569309083944</v>
      </c>
    </row>
    <row r="9" spans="1:6" x14ac:dyDescent="0.25">
      <c r="A9" s="30">
        <v>0.117576</v>
      </c>
      <c r="B9" s="31">
        <v>34.71514659042228</v>
      </c>
      <c r="C9" s="31">
        <v>34.01246065939617</v>
      </c>
      <c r="D9" s="31">
        <v>33.30977472837004</v>
      </c>
      <c r="E9" s="31">
        <v>32.60708879734391</v>
      </c>
      <c r="F9" s="31">
        <v>31.90440286631779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4769507000</v>
      </c>
      <c r="C5" s="18">
        <v>4014955000</v>
      </c>
      <c r="D5" s="18">
        <v>4386549000</v>
      </c>
      <c r="E5" s="18">
        <v>3632661000</v>
      </c>
      <c r="F5" s="6" t="s">
        <v>91</v>
      </c>
    </row>
    <row r="6" spans="1:6" x14ac:dyDescent="0.25">
      <c r="A6" t="s">
        <v>51</v>
      </c>
      <c r="B6" s="18">
        <v>310792000</v>
      </c>
      <c r="C6" s="18">
        <v>191209000</v>
      </c>
      <c r="D6" s="18">
        <v>384853000</v>
      </c>
      <c r="E6" s="18">
        <v>257230000</v>
      </c>
      <c r="F6" s="6" t="s">
        <v>92</v>
      </c>
    </row>
    <row r="7" spans="1:6" x14ac:dyDescent="0.25">
      <c r="A7" t="s">
        <v>93</v>
      </c>
      <c r="B7" s="18">
        <v>140338000</v>
      </c>
      <c r="C7" s="18">
        <v>133470000</v>
      </c>
      <c r="D7" s="18">
        <v>142180000</v>
      </c>
      <c r="E7" s="18">
        <v>140203000</v>
      </c>
      <c r="F7" s="6" t="s">
        <v>94</v>
      </c>
    </row>
    <row r="8" spans="1:6" x14ac:dyDescent="0.25">
      <c r="A8" t="s">
        <v>95</v>
      </c>
      <c r="B8" s="18">
        <v>140801000</v>
      </c>
      <c r="C8" s="18">
        <v>136641000</v>
      </c>
      <c r="D8" s="18">
        <v>106197000</v>
      </c>
      <c r="E8" s="18">
        <v>90818000</v>
      </c>
      <c r="F8" s="6" t="s">
        <v>96</v>
      </c>
    </row>
    <row r="9" spans="1:6" x14ac:dyDescent="0.25">
      <c r="A9" t="s">
        <v>97</v>
      </c>
      <c r="B9" s="18">
        <v>-219835000</v>
      </c>
      <c r="C9" s="18">
        <v>-102760000</v>
      </c>
      <c r="D9" s="18">
        <v>396751000</v>
      </c>
      <c r="E9" s="18">
        <v>572114000</v>
      </c>
      <c r="F9" s="6" t="s">
        <v>98</v>
      </c>
    </row>
    <row r="10" spans="1:6" x14ac:dyDescent="0.25">
      <c r="A10" t="s">
        <v>99</v>
      </c>
      <c r="B10" s="18">
        <v>1625554000</v>
      </c>
      <c r="C10" s="18">
        <v>1632253000</v>
      </c>
      <c r="D10" s="18">
        <v>1657165000</v>
      </c>
      <c r="E10" s="18">
        <v>1186306000</v>
      </c>
      <c r="F10" s="6" t="s">
        <v>100</v>
      </c>
    </row>
    <row r="11" spans="1:6" x14ac:dyDescent="0.25">
      <c r="A11" t="s">
        <v>101</v>
      </c>
      <c r="B11" s="18">
        <v>1308100000</v>
      </c>
      <c r="C11" s="18">
        <v>1251206000</v>
      </c>
      <c r="D11" s="18">
        <v>1115371000</v>
      </c>
      <c r="E11" s="18">
        <v>1148341000</v>
      </c>
      <c r="F11" s="6" t="s">
        <v>102</v>
      </c>
    </row>
    <row r="12" spans="1:6" x14ac:dyDescent="0.25">
      <c r="A12" t="s">
        <v>34</v>
      </c>
      <c r="B12" s="34">
        <v>145248000</v>
      </c>
      <c r="C12" s="34">
        <v>145964000</v>
      </c>
      <c r="D12" s="34">
        <v>149380000</v>
      </c>
      <c r="E12" s="34">
        <v>152193000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