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<sst xmlns="http://schemas.openxmlformats.org/spreadsheetml/2006/main" count="114" uniqueCount="102">
  <si>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Cincinnati Financial Corporation (CINF)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</si>
  <si>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</si>
  <si>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</si>
  <si>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</si>
  <si>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</si>
  <si>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</si>
  <si>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</si>
  <si>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</si>
  <si>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</si>
  <si>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</si>
  <si>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</si>
  <si>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</si>
  <si>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</si>
  <si>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</si>
  <si>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</si>
  <si>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</si>
  <si>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</si>
  <si>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</si>
  <si>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</si>
  <si>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</si>
  <si>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</si>
  <si>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</si>
  <si>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</si>
  <si>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</si>
  <si>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</si>
  <si>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</si>
  <si>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</si>
  <si>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</si>
  <si>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</si>
  <si>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</si>
  <si>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</si>
  <si>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</si>
  <si>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</si>
  <si>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</si>
  <si>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</si>
  <si>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</si>
  <si>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</si>
  <si>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</si>
  <si>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</si>
  <si>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</si>
  <si>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</si>
  <si>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</si>
  <si>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</si>
  <si>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</si>
  <si>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</si>
  <si>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</si>
  <si>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</si>
  <si>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</si>
  <si>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</si>
  <si>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</si>
  <si>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</si>
  <si>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</si>
  <si>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</si>
  <si>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</si>
  <si>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</si>
  <si>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</si>
  <si>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</si>
  <si>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</si>
  <si>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</si>
  <si>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</si>
  <si>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</si>
  <si>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</si>
  <si>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</si>
  <si>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</si>
  <si>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</si>
  <si>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</si>
  <si>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</si>
  <si>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</si>
  <si>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</si>
  <si>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</si>
  <si>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</si>
  <si>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</si>
  <si>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</si>
  <si>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</si>
  <si>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</si>
  <si>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</si>
  <si>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</si>
  <si>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</si>
  <si>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</si>
  <si>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</si>
  <si>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</si>
  <si>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</si>
  <si>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</si>
  <si>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</si>
  <si>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</si>
  <si>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</si>
  <si>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</si>
  <si>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</si>
  <si>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</si>
  <si>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</si>
  <si>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</si>
  <si>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</si>
  <si>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</si>
  <si>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</si>
  <si>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</si>
  <si>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</si>
  <si>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</si>
  <si>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</si>
  <si>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</si>
  <si>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just 0.19% of revenue, which is too low to be the company's real investment - property trusts and similar structures invest through lines that are not reported as capex. Capex has been set to 1.38% of revenue so the forecast is not handed free growth. Override it if the reported figure is right.</t>
  </si>
  <si>
    <t>Current EV/EBITDA of 2.3x sits outside a defensible 3-20x band, so the exit multiple is capped at 3.0x.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</si>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</sst>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0.2438798815724228</v>
      </c>
    </row>
    <row r="7" spans="1:2" x14ac:dyDescent="0.25">
      <c r="A7" t="s">
        <v>5</v>
      </c>
      <c r="B7" s="6">
        <v>0.15239564259557295</v>
      </c>
    </row>
    <row r="8" spans="1:2" x14ac:dyDescent="0.25">
      <c r="A8" t="s">
        <v>6</v>
      </c>
      <c r="B8" s="6">
        <v>0.1969798657718121</v>
      </c>
    </row>
    <row r="9" spans="1:2" x14ac:dyDescent="0.25">
      <c r="A9" t="s">
        <v>7</v>
      </c>
      <c r="B9" s="6">
        <v>0.013825963368793638</v>
      </c>
    </row>
    <row r="10" spans="1:2" x14ac:dyDescent="0.25">
      <c r="A10" t="s">
        <v>8</v>
      </c>
      <c r="B10" s="6">
        <v>0.013825963368793638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</v>
      </c>
    </row>
    <row r="14" spans="1:3" x14ac:dyDescent="0.25">
      <c r="A14" t="s">
        <v>12</v>
      </c>
      <c r="B14" s="6">
        <v>0.1430706684204233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0.6951499999999999</v>
      </c>
      <c r="C19" s="8" t="s">
        <v>19</v>
      </c>
    </row>
    <row r="20" spans="1:2" x14ac:dyDescent="0.25">
      <c r="A20" t="s">
        <v>20</v>
      </c>
      <c r="B20" s="10">
        <f>B17+B19*B18</f>
        <v>0.08821324999999999</v>
      </c>
    </row>
    <row r="21" spans="1:3" x14ac:dyDescent="0.25">
      <c r="A21" t="s">
        <v>21</v>
      </c>
      <c r="B21" s="6">
        <v>0.060193072118114706</v>
      </c>
      <c r="C21" s="8" t="s">
        <v>22</v>
      </c>
    </row>
    <row r="22" spans="1:2" x14ac:dyDescent="0.25">
      <c r="A22" t="s">
        <v>23</v>
      </c>
      <c r="B22" s="11">
        <v>25937790976</v>
      </c>
    </row>
    <row r="23" spans="1:2" x14ac:dyDescent="0.25">
      <c r="A23" t="s">
        <v>24</v>
      </c>
      <c r="B23" s="11">
        <v>886000000</v>
      </c>
    </row>
    <row r="24" spans="1:2" x14ac:dyDescent="0.25">
      <c r="A24" t="s">
        <v>25</v>
      </c>
      <c r="B24" s="10">
        <f>B22/(B22+B23)</f>
        <v>0.9669696203346974</v>
      </c>
    </row>
    <row r="25" spans="1:2" x14ac:dyDescent="0.25">
      <c r="A25" t="s">
        <v>26</v>
      </c>
      <c r="B25" s="10">
        <f>1-B24</f>
        <v>0.033030379665302645</v>
      </c>
    </row>
    <row r="26" spans="1:2" x14ac:dyDescent="0.25">
      <c r="A26" t="s">
        <v>27</v>
      </c>
      <c r="B26" s="12">
        <f>B24*B20+B25*B21*(1-B8)</f>
        <v>0.08689609751216439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12631000000</v>
      </c>
      <c r="C29" s="8" t="s">
        <v>30</v>
      </c>
    </row>
    <row r="30" spans="1:2" x14ac:dyDescent="0.25">
      <c r="A30" t="s">
        <v>31</v>
      </c>
      <c r="B30" s="11">
        <v>-18816000000</v>
      </c>
    </row>
    <row r="31" spans="1:2" x14ac:dyDescent="0.25">
      <c r="A31" t="s">
        <v>32</v>
      </c>
      <c r="B31" s="13">
        <v>157700000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0.2438798815724228</v>
      </c>
      <c r="C5" s="10">
        <f>Assumptions!B6</f>
        <v>0.2438798815724228</v>
      </c>
      <c r="D5" s="10">
        <f>Assumptions!B6</f>
        <v>0.2438798815724228</v>
      </c>
      <c r="E5" s="10">
        <f>Assumptions!B6</f>
        <v>0.2438798815724228</v>
      </c>
      <c r="F5" s="10">
        <f>Assumptions!B6</f>
        <v>0.2438798815724228</v>
      </c>
    </row>
    <row r="6" spans="1:6" x14ac:dyDescent="0.25">
      <c r="A6" t="s">
        <v>43</v>
      </c>
      <c r="B6" s="18">
        <f>Assumptions!B29*(1+B5)</f>
        <v>15711446784.141272</v>
      </c>
      <c r="C6" s="18">
        <f>B6*(1+C5)</f>
        <v>19543152565.189068</v>
      </c>
      <c r="D6" s="18">
        <f>C6*(1+D5)</f>
        <v>24309334298.33917</v>
      </c>
      <c r="E6" s="18">
        <f>D6*(1+E5)</f>
        <v>30237891868.122562</v>
      </c>
      <c r="F6" s="18">
        <f>E6*(1+F5)</f>
        <v>37612305355.92002</v>
      </c>
    </row>
    <row r="7" spans="1:6" x14ac:dyDescent="0.25">
      <c r="A7" t="s">
        <v>5</v>
      </c>
      <c r="B7" s="10">
        <f>Assumptions!B7</f>
        <v>0.15239564259557295</v>
      </c>
      <c r="C7" s="10">
        <f>Assumptions!B7</f>
        <v>0.15239564259557295</v>
      </c>
      <c r="D7" s="10">
        <f>Assumptions!B7</f>
        <v>0.15239564259557295</v>
      </c>
      <c r="E7" s="10">
        <f>Assumptions!B7</f>
        <v>0.15239564259557295</v>
      </c>
      <c r="F7" s="10">
        <f>Assumptions!B7</f>
        <v>0.15239564259557295</v>
      </c>
    </row>
    <row r="8" spans="1:6" x14ac:dyDescent="0.25">
      <c r="A8" t="s">
        <v>44</v>
      </c>
      <c r="B8" s="18">
        <f>B6*B7</f>
        <v>2394356028.7753572</v>
      </c>
      <c r="C8" s="18">
        <f>C6*C7</f>
        <v>2978291293.515308</v>
      </c>
      <c r="D8" s="18">
        <f>D6*D7</f>
        <v>3704636621.465999</v>
      </c>
      <c r="E8" s="18">
        <f>E6*E7</f>
        <v>4608122961.977987</v>
      </c>
      <c r="F8" s="18">
        <f>F6*F7</f>
        <v>5731951444.216342</v>
      </c>
    </row>
    <row r="9" spans="1:6" x14ac:dyDescent="0.25">
      <c r="A9" t="s">
        <v>45</v>
      </c>
      <c r="B9" s="18">
        <f>B8*(1-Assumptions!B8)</f>
        <v>1922716099.6172585</v>
      </c>
      <c r="C9" s="18">
        <f>C8*(1-Assumptions!B8)</f>
        <v>2391627874.289306</v>
      </c>
      <c r="D9" s="18">
        <f>D8*(1-Assumptions!B8)</f>
        <v>2974897797.0362873</v>
      </c>
      <c r="E9" s="18">
        <f>E8*(1-Assumptions!B8)</f>
        <v>3700415519.4675584</v>
      </c>
      <c r="F9" s="18">
        <f>F8*(1-Assumptions!B8)</f>
        <v>4602872418.124063</v>
      </c>
    </row>
    <row r="10" spans="1:6" x14ac:dyDescent="0.25">
      <c r="A10" t="s">
        <v>46</v>
      </c>
      <c r="B10" s="18">
        <f>B6*Assumptions!B9</f>
        <v>217225887.70828784</v>
      </c>
      <c r="C10" s="18">
        <f>C6*Assumptions!B9</f>
        <v>270202911.47704947</v>
      </c>
      <c r="D10" s="18">
        <f>D6*Assumptions!B9</f>
        <v>336099965.52859616</v>
      </c>
      <c r="E10" s="18">
        <f>E6*Assumptions!B9</f>
        <v>418067985.3182056</v>
      </c>
      <c r="F10" s="18">
        <f>F6*Assumptions!B9</f>
        <v>520026356.066831</v>
      </c>
    </row>
    <row r="11" spans="1:6" x14ac:dyDescent="0.25">
      <c r="A11" t="s">
        <v>47</v>
      </c>
      <c r="B11" s="18">
        <f>-B6*Assumptions!B10</f>
        <v>-217225887.70828784</v>
      </c>
      <c r="C11" s="18">
        <f>-C6*Assumptions!B10</f>
        <v>-270202911.47704947</v>
      </c>
      <c r="D11" s="18">
        <f>-D6*Assumptions!B10</f>
        <v>-336099965.52859616</v>
      </c>
      <c r="E11" s="18">
        <f>-E6*Assumptions!B10</f>
        <v>-418067985.3182056</v>
      </c>
      <c r="F11" s="18">
        <f>-F6*Assumptions!B10</f>
        <v>-520026356.066831</v>
      </c>
    </row>
    <row r="12" spans="1:6" x14ac:dyDescent="0.25">
      <c r="A12" t="s">
        <v>48</v>
      </c>
      <c r="B12" s="18">
        <f>-(B6-Assumptions!B29)*Assumptions!B11</f>
        <v>3080446784.1412716</v>
      </c>
      <c r="C12" s="18">
        <f>-(C6-B6)*Assumptions!B11</f>
        <v>3831705781.0477962</v>
      </c>
      <c r="D12" s="18">
        <f>-(D6-C6)*Assumptions!B11</f>
        <v>4766181733.150101</v>
      </c>
      <c r="E12" s="18">
        <f>-(E6-D6)*Assumptions!B11</f>
        <v>5928557569.783394</v>
      </c>
      <c r="F12" s="18">
        <f>-(F6-E6)*Assumptions!B11</f>
        <v>7374413487.797459</v>
      </c>
    </row>
    <row r="13" spans="1:6" x14ac:dyDescent="0.25">
      <c r="A13" s="19" t="s">
        <v>49</v>
      </c>
      <c r="B13" s="20">
        <f>B9+B10+B11+B12</f>
        <v>5003162883.75853</v>
      </c>
      <c r="C13" s="20">
        <f>C9+C10+C11+C12</f>
        <v>6223333655.337103</v>
      </c>
      <c r="D13" s="20">
        <f>D9+D10+D11+D12</f>
        <v>7741079530.186388</v>
      </c>
      <c r="E13" s="20">
        <f>E9+E10+E11+E12</f>
        <v>9628973089.250952</v>
      </c>
      <c r="F13" s="20">
        <f>F9+F10+F11+F12</f>
        <v>11977285905.92152</v>
      </c>
    </row>
    <row r="14" spans="1:6" x14ac:dyDescent="0.25">
      <c r="A14" t="s">
        <v>50</v>
      </c>
      <c r="B14" s="21">
        <f>1/(1+Assumptions!$B$26)^(1-0.5*Assumptions!$B$32)</f>
        <v>0.959192965940076</v>
      </c>
      <c r="C14" s="21">
        <f>1/(1+Assumptions!$B$26)^(2-0.5*Assumptions!$B$32)</f>
        <v>0.8825065874609425</v>
      </c>
      <c r="D14" s="21">
        <f>1/(1+Assumptions!$B$26)^(3-0.5*Assumptions!$B$32)</f>
        <v>0.8119511970656107</v>
      </c>
      <c r="E14" s="21">
        <f>1/(1+Assumptions!$B$26)^(4-0.5*Assumptions!$B$32)</f>
        <v>0.7470366292823343</v>
      </c>
      <c r="F14" s="21">
        <f>1/(1+Assumptions!$B$26)^(5-0.5*Assumptions!$B$32)</f>
        <v>0.6873119068071486</v>
      </c>
    </row>
    <row r="15" spans="1:6" x14ac:dyDescent="0.25">
      <c r="A15" s="19" t="s">
        <v>51</v>
      </c>
      <c r="B15" s="20">
        <f>B13*B14</f>
        <v>4798998645.553648</v>
      </c>
      <c r="C15" s="20">
        <f>C13*C14</f>
        <v>5492132946.80238</v>
      </c>
      <c r="D15" s="20">
        <f>D13*D14</f>
        <v>6285378791.114933</v>
      </c>
      <c r="E15" s="20">
        <f>E13*E14</f>
        <v>7193195600.044336</v>
      </c>
      <c r="F15" s="20">
        <f>F13*F14</f>
        <v>8232131214.373306</v>
      </c>
    </row>
    <row r="17" spans="1:2" x14ac:dyDescent="0.25">
      <c r="A17" s="22" t="s">
        <v>52</v>
      </c>
      <c r="B17" s="23">
        <f>SUM(B15:F15)</f>
        <v>32001837197.888603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11977285905.92152</v>
      </c>
    </row>
    <row r="5" spans="1:2" x14ac:dyDescent="0.25">
      <c r="A5" t="s">
        <v>56</v>
      </c>
      <c r="B5" s="18">
        <f>IF(Assumptions!$B$33=0,B4,B4-Forecast!F11-Forecast!F10-Forecast!F12)</f>
        <v>4602872418.124063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0.17473882156289178</v>
      </c>
    </row>
    <row r="7" spans="1:2" x14ac:dyDescent="0.25">
      <c r="A7" t="s">
        <v>58</v>
      </c>
      <c r="B7" s="18">
        <f>-MAX(Forecast!F9,0)*B6</f>
        <v>-804300502.1473367</v>
      </c>
    </row>
    <row r="8" spans="1:2" x14ac:dyDescent="0.25">
      <c r="A8" t="s">
        <v>59</v>
      </c>
      <c r="B8" s="18">
        <f>IF(OR(Assumptions!$B$33=0,Assumptions!B12&lt;=0),B5,MAX(B5+B7,0))</f>
        <v>3798571915.9767256</v>
      </c>
    </row>
    <row r="9" spans="1:2" x14ac:dyDescent="0.25">
      <c r="A9" t="s">
        <v>60</v>
      </c>
      <c r="B9" s="18">
        <f>B8*(1+Assumptions!B12)/(Assumptions!B26-Assumptions!B12)</f>
        <v>62904389297.095024</v>
      </c>
    </row>
    <row r="10" spans="1:2" x14ac:dyDescent="0.25">
      <c r="A10" t="s">
        <v>61</v>
      </c>
      <c r="B10" s="18">
        <f>B9/(1+Assumptions!B26)^(5-0.5*Assumptions!B32)</f>
        <v>43234935754.32557</v>
      </c>
    </row>
    <row r="11" spans="1:2" x14ac:dyDescent="0.25">
      <c r="A11" t="s">
        <v>62</v>
      </c>
      <c r="B11" s="18">
        <f>Forecast!B17+B10</f>
        <v>75236772952.21417</v>
      </c>
    </row>
    <row r="12" spans="1:2" x14ac:dyDescent="0.25">
      <c r="A12" t="s">
        <v>63</v>
      </c>
      <c r="B12" s="18">
        <f>-Assumptions!B30</f>
        <v>18816000000</v>
      </c>
    </row>
    <row r="13" spans="1:2" x14ac:dyDescent="0.25">
      <c r="A13" t="s">
        <v>64</v>
      </c>
      <c r="B13" s="18">
        <f>B11+B12</f>
        <v>94052772952.21417</v>
      </c>
    </row>
    <row r="14" spans="1:2" x14ac:dyDescent="0.25">
      <c r="A14" s="19" t="s">
        <v>65</v>
      </c>
      <c r="B14" s="24">
        <f>B13/Assumptions!B31</f>
        <v>596.4031258859491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6251977800.283173</v>
      </c>
    </row>
    <row r="18" spans="1:2" x14ac:dyDescent="0.25">
      <c r="A18" t="s">
        <v>60</v>
      </c>
      <c r="B18" s="18">
        <f>B17*Assumptions!B13</f>
        <v>18755933400.849518</v>
      </c>
    </row>
    <row r="19" spans="1:2" x14ac:dyDescent="0.25">
      <c r="A19" t="s">
        <v>61</v>
      </c>
      <c r="B19" s="18">
        <f>B18/(1+Assumptions!B26)^(5-0.5*Assumptions!B32)</f>
        <v>12891176349.68577</v>
      </c>
    </row>
    <row r="20" spans="1:2" x14ac:dyDescent="0.25">
      <c r="A20" t="s">
        <v>62</v>
      </c>
      <c r="B20" s="18">
        <f>Forecast!B17+B19</f>
        <v>44893013547.57437</v>
      </c>
    </row>
    <row r="21" spans="1:2" x14ac:dyDescent="0.25">
      <c r="A21" t="s">
        <v>63</v>
      </c>
      <c r="B21" s="18">
        <f>-Assumptions!B30</f>
        <v>18816000000</v>
      </c>
    </row>
    <row r="22" spans="1:2" x14ac:dyDescent="0.25">
      <c r="A22" t="s">
        <v>64</v>
      </c>
      <c r="B22" s="18">
        <f>B20+B21</f>
        <v>63709013547.57437</v>
      </c>
    </row>
    <row r="23" spans="1:2" x14ac:dyDescent="0.25">
      <c r="A23" s="19" t="s">
        <v>65</v>
      </c>
      <c r="B23" s="25">
        <f>B22/Assumptions!B31</f>
        <v>403.98867182989454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596.4031258859491</v>
      </c>
    </row>
    <row r="29" spans="1:2" x14ac:dyDescent="0.25">
      <c r="A29" s="19" t="s">
        <v>73</v>
      </c>
      <c r="B29" s="12">
        <f>B28/B26-1</f>
        <v>2.5290125792067992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0.066896</v>
      </c>
      <c r="B5" s="31">
        <v>714.8574838266683</v>
      </c>
      <c r="C5" s="31">
        <v>741.072167870091</v>
      </c>
      <c r="D5" s="31">
        <v>773.3620111208469</v>
      </c>
      <c r="E5" s="31">
        <v>814.1968582263237</v>
      </c>
      <c r="F5" s="31">
        <v>867.5952399684628</v>
      </c>
    </row>
    <row r="6" spans="1:6" x14ac:dyDescent="0.25">
      <c r="A6" s="30">
        <v>0.076896</v>
      </c>
      <c r="B6" s="31">
        <v>634.5049666420001</v>
      </c>
      <c r="C6" s="31">
        <v>650.0254103265868</v>
      </c>
      <c r="D6" s="31">
        <v>668.3957042547418</v>
      </c>
      <c r="E6" s="31">
        <v>690.5273921328269</v>
      </c>
      <c r="F6" s="31">
        <v>717.7671636030265</v>
      </c>
    </row>
    <row r="7" spans="1:6" x14ac:dyDescent="0.25">
      <c r="A7" s="30">
        <v>0.086896</v>
      </c>
      <c r="B7" s="31">
        <v>575.7634622031311</v>
      </c>
      <c r="C7" s="31">
        <v>585.364635495652</v>
      </c>
      <c r="D7" s="32">
        <v>596.4037188755325</v>
      </c>
      <c r="E7" s="31">
        <v>609.2598014054558</v>
      </c>
      <c r="F7" s="31">
        <v>624.4580678251054</v>
      </c>
    </row>
    <row r="8" spans="1:6" x14ac:dyDescent="0.25">
      <c r="A8" s="30">
        <v>0.096896</v>
      </c>
      <c r="B8" s="31">
        <v>530.7581509227268</v>
      </c>
      <c r="C8" s="31">
        <v>536.8418966510728</v>
      </c>
      <c r="D8" s="31">
        <v>543.6782527092823</v>
      </c>
      <c r="E8" s="31">
        <v>551.4359758981799</v>
      </c>
      <c r="F8" s="31">
        <v>560.3383521645202</v>
      </c>
    </row>
    <row r="9" spans="1:6" x14ac:dyDescent="0.25">
      <c r="A9" s="30">
        <v>0.106896</v>
      </c>
      <c r="B9" s="31">
        <v>495.0392996991093</v>
      </c>
      <c r="C9" s="31">
        <v>498.9237086104542</v>
      </c>
      <c r="D9" s="31">
        <v>503.2035644936873</v>
      </c>
      <c r="E9" s="31">
        <v>507.95600666136517</v>
      </c>
      <c r="F9" s="31">
        <v>513.2796330085956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12631000000</v>
      </c>
      <c r="C5" s="18">
        <v>11337000000</v>
      </c>
      <c r="D5" s="18">
        <v>10013000000</v>
      </c>
      <c r="E5" s="18">
        <v>6563000000</v>
      </c>
      <c r="F5" s="8" t="s">
        <v>84</v>
      </c>
    </row>
    <row r="6" spans="1:6" x14ac:dyDescent="0.25">
      <c r="A6" t="s">
        <v>44</v>
      </c>
      <c r="B6" s="18">
        <v>2980000000</v>
      </c>
      <c r="C6" s="18">
        <v>2858000000</v>
      </c>
      <c r="D6" s="18">
        <v>2276000000</v>
      </c>
      <c r="E6" s="18">
        <v>-694000000</v>
      </c>
      <c r="F6" s="8" t="s">
        <v>85</v>
      </c>
    </row>
    <row r="7" spans="1:6" x14ac:dyDescent="0.25">
      <c r="A7" t="s">
        <v>86</v>
      </c>
      <c r="B7" s="18">
        <v>168000000</v>
      </c>
      <c r="C7" s="18">
        <v>130000000</v>
      </c>
      <c r="D7" s="18">
        <v>112000000</v>
      </c>
      <c r="E7" s="18">
        <v>127000000</v>
      </c>
      <c r="F7" s="8" t="s">
        <v>87</v>
      </c>
    </row>
    <row r="8" spans="1:6" x14ac:dyDescent="0.25">
      <c r="A8" t="s">
        <v>88</v>
      </c>
      <c r="B8" s="18">
        <v>20000000</v>
      </c>
      <c r="C8" s="18">
        <v>22000000</v>
      </c>
      <c r="D8" s="18">
        <v>18000000</v>
      </c>
      <c r="E8" s="18">
        <v>15000000</v>
      </c>
      <c r="F8" s="8" t="s">
        <v>89</v>
      </c>
    </row>
    <row r="9" spans="1:6" x14ac:dyDescent="0.25">
      <c r="A9" t="s">
        <v>90</v>
      </c>
      <c r="B9" s="18">
        <v>-1629000000</v>
      </c>
      <c r="C9" s="18">
        <v>-1433000000</v>
      </c>
      <c r="D9" s="18">
        <v>-937000000</v>
      </c>
      <c r="E9" s="18">
        <v>-1231000000</v>
      </c>
      <c r="F9" s="8" t="s">
        <v>91</v>
      </c>
    </row>
    <row r="10" spans="1:6" x14ac:dyDescent="0.25">
      <c r="A10" t="s">
        <v>92</v>
      </c>
      <c r="B10" s="18">
        <v>886000000</v>
      </c>
      <c r="C10" s="18">
        <v>875000000</v>
      </c>
      <c r="D10" s="18">
        <v>874000000</v>
      </c>
      <c r="E10" s="18">
        <v>891000000</v>
      </c>
      <c r="F10" s="8" t="s">
        <v>93</v>
      </c>
    </row>
    <row r="11" spans="1:6" x14ac:dyDescent="0.25">
      <c r="A11" t="s">
        <v>94</v>
      </c>
      <c r="B11" s="18">
        <v>19702000000</v>
      </c>
      <c r="C11" s="18">
        <v>17463000000</v>
      </c>
      <c r="D11" s="18">
        <v>14698000000</v>
      </c>
      <c r="E11" s="18">
        <v>13396000000</v>
      </c>
      <c r="F11" s="8" t="s">
        <v>95</v>
      </c>
    </row>
    <row r="12" spans="1:6" x14ac:dyDescent="0.25">
      <c r="A12" t="s">
        <v>32</v>
      </c>
      <c r="B12" s="34">
        <v>157700000</v>
      </c>
      <c r="C12" s="34">
        <v>157800000</v>
      </c>
      <c r="D12" s="34">
        <v>158100000</v>
      </c>
      <c r="E12" s="34">
        <v>158823529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2026-09-19T00:07:07Z</dcterms:modified>
</cp:coreProperties>
</file>