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<sst xmlns="http://schemas.openxmlformats.org/spreadsheetml/2006/main" count="119" uniqueCount="106">
  <si>
    <t>Colgate-Palmolive Company (CL)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</si>
  <si>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</si>
  <si>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</si>
  <si>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</si>
  <si>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</si>
  <si>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</si>
  <si>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</si>
  <si>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</si>
  <si>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</si>
  <si>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</si>
  <si>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</si>
  <si>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</si>
  <si>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</si>
  <si>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</si>
  <si>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</si>
  <si>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</si>
  <si>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</si>
  <si>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</si>
  <si>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</si>
  <si>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</si>
  <si>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</si>
  <si>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</si>
  <si>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</si>
  <si>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</si>
  <si>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+ 40bp, the spread for a AAA rating at 15.9x interest cover. Book interest / average debt was lower, at 3.1%.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</si>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</sst>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0.04990053772936909</v>
      </c>
    </row>
    <row r="7" spans="1:2" x14ac:dyDescent="0.25">
      <c r="A7" t="s">
        <v>4</v>
      </c>
      <c r="B7" s="5">
        <v>0.20858977104544482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0.03012055083194257</v>
      </c>
    </row>
    <row r="10" spans="1:3" x14ac:dyDescent="0.25">
      <c r="A10" t="s">
        <v>7</v>
      </c>
      <c r="B10" s="5">
        <v>0.03263799151208212</v>
      </c>
      <c r="C10" s="6" t="s">
        <v>8</v>
      </c>
    </row>
    <row r="11" spans="1:2" x14ac:dyDescent="0.25">
      <c r="A11" t="s">
        <v>9</v>
      </c>
      <c r="B11" s="5">
        <v>0.08918227202000305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17.070527486736584</v>
      </c>
    </row>
    <row r="14" spans="1:3" x14ac:dyDescent="0.25">
      <c r="A14" t="s">
        <v>12</v>
      </c>
      <c r="B14" s="5">
        <v>0.38410577868679063</v>
      </c>
      <c r="C14" s="6" t="s">
        <v>13</v>
      </c>
    </row>
    <row r="15" spans="1:3" x14ac:dyDescent="0.25">
      <c r="A15" t="s">
        <v>14</v>
      </c>
      <c r="B15" s="5">
        <v>0.03012055083194257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0.54574</v>
      </c>
      <c r="C19" s="6" t="s">
        <v>21</v>
      </c>
    </row>
    <row r="20" spans="1:2" x14ac:dyDescent="0.25">
      <c r="A20" t="s">
        <v>22</v>
      </c>
      <c r="B20" s="9">
        <f>B17+B19*B18</f>
        <v>0.072024802</v>
      </c>
    </row>
    <row r="21" spans="1:3" x14ac:dyDescent="0.25">
      <c r="A21" t="s">
        <v>23</v>
      </c>
      <c r="B21" s="5">
        <v>0.05294</v>
      </c>
      <c r="C21" s="6" t="s">
        <v>24</v>
      </c>
    </row>
    <row r="22" spans="1:2" x14ac:dyDescent="0.25">
      <c r="A22" t="s">
        <v>25</v>
      </c>
      <c r="B22" s="10">
        <v>75747975168</v>
      </c>
    </row>
    <row r="23" spans="1:2" x14ac:dyDescent="0.25">
      <c r="A23" t="s">
        <v>26</v>
      </c>
      <c r="B23" s="10">
        <v>8554000000</v>
      </c>
    </row>
    <row r="24" spans="1:2" x14ac:dyDescent="0.25">
      <c r="A24" t="s">
        <v>27</v>
      </c>
      <c r="B24" s="9">
        <f>B22/(B22+B23)</f>
        <v>0.8985314403019231</v>
      </c>
    </row>
    <row r="25" spans="1:2" x14ac:dyDescent="0.25">
      <c r="A25" t="s">
        <v>28</v>
      </c>
      <c r="B25" s="9">
        <f>1-B24</f>
        <v>0.10146855969807689</v>
      </c>
    </row>
    <row r="26" spans="1:2" x14ac:dyDescent="0.25">
      <c r="A26" t="s">
        <v>29</v>
      </c>
      <c r="B26" s="11">
        <f>B24*B20+B25*B21*(1-B8)</f>
        <v>0.06896022806334962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20382000000</v>
      </c>
      <c r="C29" s="6" t="s">
        <v>32</v>
      </c>
    </row>
    <row r="30" spans="1:2" x14ac:dyDescent="0.25">
      <c r="A30" t="s">
        <v>33</v>
      </c>
      <c r="B30" s="10">
        <v>7266000000</v>
      </c>
    </row>
    <row r="31" spans="1:2" x14ac:dyDescent="0.25">
      <c r="A31" t="s">
        <v>34</v>
      </c>
      <c r="B31" s="12">
        <v>811100000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0.04990053772936909</v>
      </c>
      <c r="C5" s="5">
        <v>0.028351192446714135</v>
      </c>
      <c r="D5" s="5">
        <v>0.027932293390874868</v>
      </c>
      <c r="E5" s="5">
        <v>0.0275133943350356</v>
      </c>
      <c r="F5" s="5">
        <v>0.027094495279196336</v>
      </c>
      <c r="G5" s="5">
        <v>0.02667559622335707</v>
      </c>
      <c r="H5" s="5">
        <v>0.0262566971675178</v>
      </c>
      <c r="I5" s="5">
        <v>0.025837798111678537</v>
      </c>
      <c r="J5" s="5">
        <v>0.02541889905583927</v>
      </c>
      <c r="K5" s="5">
        <v>0.025</v>
      </c>
    </row>
    <row r="6" spans="1:11" x14ac:dyDescent="0.25">
      <c r="A6" t="s">
        <v>50</v>
      </c>
      <c r="B6" s="18">
        <f>Assumptions!B29*(1+B5)</f>
        <v>21399072760</v>
      </c>
      <c r="C6" s="18">
        <f>B6*(1+C5)</f>
        <v>22005761990</v>
      </c>
      <c r="D6" s="18">
        <f>C6*(1+D5)</f>
        <v>22620433390.19444</v>
      </c>
      <c r="E6" s="18">
        <f>D6*(1+E5)</f>
        <v>23242798294.088264</v>
      </c>
      <c r="F6" s="18">
        <f>E6*(1+F5)</f>
        <v>23872550182.74275</v>
      </c>
      <c r="G6" s="18">
        <f>F6*(1+G5)</f>
        <v>24509364692.239426</v>
      </c>
      <c r="H6" s="18">
        <f>G6*(1+H5)</f>
        <v>25152899658.731808</v>
      </c>
      <c r="I6" s="18">
        <f>H6*(1+I5)</f>
        <v>25802795202.03743</v>
      </c>
      <c r="J6" s="18">
        <f>I6*(1+J5)</f>
        <v>26458673848.636513</v>
      </c>
      <c r="K6" s="18">
        <f>J6*(1+K5)</f>
        <v>27120140694.852425</v>
      </c>
    </row>
    <row r="7" spans="1:11" x14ac:dyDescent="0.25">
      <c r="A7" t="s">
        <v>4</v>
      </c>
      <c r="B7" s="9">
        <f>Assumptions!B7</f>
        <v>0.20858977104544482</v>
      </c>
      <c r="C7" s="9">
        <f>Assumptions!B7</f>
        <v>0.20858977104544482</v>
      </c>
      <c r="D7" s="9">
        <f>Assumptions!B7</f>
        <v>0.20858977104544482</v>
      </c>
      <c r="E7" s="9">
        <f>Assumptions!B7</f>
        <v>0.20858977104544482</v>
      </c>
      <c r="F7" s="9">
        <f>Assumptions!B7</f>
        <v>0.20858977104544482</v>
      </c>
      <c r="G7" s="9">
        <f>Assumptions!B7</f>
        <v>0.20858977104544482</v>
      </c>
      <c r="H7" s="9">
        <f>Assumptions!B7</f>
        <v>0.20858977104544482</v>
      </c>
      <c r="I7" s="9">
        <f>Assumptions!B7</f>
        <v>0.20858977104544482</v>
      </c>
      <c r="J7" s="9">
        <f>Assumptions!B7</f>
        <v>0.20858977104544482</v>
      </c>
      <c r="K7" s="9">
        <f>Assumptions!B7</f>
        <v>0.20858977104544482</v>
      </c>
    </row>
    <row r="8" spans="1:11" x14ac:dyDescent="0.25">
      <c r="A8" t="s">
        <v>51</v>
      </c>
      <c r="B8" s="18">
        <f>B6*B7</f>
        <v>4463627687.593215</v>
      </c>
      <c r="C8" s="18">
        <f>C6*C7</f>
        <v>4590176855.174652</v>
      </c>
      <c r="D8" s="18">
        <f>D6*D7</f>
        <v>4718391021.809393</v>
      </c>
      <c r="E8" s="18">
        <f>E6*E7</f>
        <v>4848209974.619327</v>
      </c>
      <c r="F8" s="18">
        <f>F6*F7</f>
        <v>4979569776.889202</v>
      </c>
      <c r="G8" s="18">
        <f>G6*G7</f>
        <v>5112402769.623531</v>
      </c>
      <c r="H8" s="18">
        <f>H6*H7</f>
        <v>5246637580.943915</v>
      </c>
      <c r="I8" s="18">
        <f>I6*I7</f>
        <v>5382199143.52549</v>
      </c>
      <c r="J8" s="18">
        <f>J6*J7</f>
        <v>5519008720.253188</v>
      </c>
      <c r="K8" s="18">
        <f>K6*K7</f>
        <v>5656983938.259518</v>
      </c>
    </row>
    <row r="9" spans="1:11" x14ac:dyDescent="0.25">
      <c r="A9" t="s">
        <v>52</v>
      </c>
      <c r="B9" s="18">
        <f>B8*(1-Assumptions!B8)</f>
        <v>3526265873.19864</v>
      </c>
      <c r="C9" s="18">
        <f>C8*(1-Assumptions!B8)</f>
        <v>3626239715.5879755</v>
      </c>
      <c r="D9" s="18">
        <f>D8*(1-Assumptions!B8)</f>
        <v>3727528907.2294207</v>
      </c>
      <c r="E9" s="18">
        <f>E8*(1-Assumptions!B8)</f>
        <v>3830085879.9492683</v>
      </c>
      <c r="F9" s="18">
        <f>F8*(1-Assumptions!B8)</f>
        <v>3933860123.74247</v>
      </c>
      <c r="G9" s="18">
        <f>G8*(1-Assumptions!B8)</f>
        <v>4038798188.00259</v>
      </c>
      <c r="H9" s="18">
        <f>H8*(1-Assumptions!B8)</f>
        <v>4144843688.9456935</v>
      </c>
      <c r="I9" s="18">
        <f>I8*(1-Assumptions!B8)</f>
        <v>4251937323.385137</v>
      </c>
      <c r="J9" s="18">
        <f>J8*(1-Assumptions!B8)</f>
        <v>4360016889.000019</v>
      </c>
      <c r="K9" s="18">
        <f>K8*(1-Assumptions!B8)</f>
        <v>4469017311.225019</v>
      </c>
    </row>
    <row r="10" spans="1:11" x14ac:dyDescent="0.25">
      <c r="A10" t="s">
        <v>53</v>
      </c>
      <c r="B10" s="18">
        <f>B6*Assumptions!B9</f>
        <v>644551858.8240175</v>
      </c>
      <c r="C10" s="18">
        <f>C6*Assumptions!B9</f>
        <v>662825672.6154246</v>
      </c>
      <c r="D10" s="18">
        <f>D6*Assumptions!B9</f>
        <v>681339913.7699226</v>
      </c>
      <c r="E10" s="18">
        <f>E6*Assumptions!B9</f>
        <v>700085887.4936736</v>
      </c>
      <c r="F10" s="18">
        <f>F6*Assumptions!B9</f>
        <v>719054361.2674029</v>
      </c>
      <c r="G10" s="18">
        <f>G6*Assumptions!B9</f>
        <v>738235565.0712161</v>
      </c>
      <c r="H10" s="18">
        <f>H6*Assumptions!B9</f>
        <v>757619192.7415823</v>
      </c>
      <c r="I10" s="18">
        <f>I6*Assumptions!B9</f>
        <v>777194404.4891722</v>
      </c>
      <c r="J10" s="18">
        <f>J6*Assumptions!B9</f>
        <v>796949830.6036457</v>
      </c>
      <c r="K10" s="18">
        <f>K6*Assumptions!B9</f>
        <v>816873576.3687367</v>
      </c>
    </row>
    <row r="11" spans="1:11" x14ac:dyDescent="0.25">
      <c r="A11" t="s">
        <v>54</v>
      </c>
      <c r="B11" s="18">
        <f>-B6*B19</f>
        <v>-698422755.1073077</v>
      </c>
      <c r="C11" s="18">
        <f>-C6*C19</f>
        <v>-738292772.993953</v>
      </c>
      <c r="D11" s="18">
        <f>-D6*D19</f>
        <v>-779544453.6863801</v>
      </c>
      <c r="E11" s="18">
        <f>-E6*E19</f>
        <v>-822189424.7437704</v>
      </c>
      <c r="F11" s="18">
        <f>-F6*F19</f>
        <v>-866237612.8960898</v>
      </c>
      <c r="G11" s="18">
        <f>-G6*G19</f>
        <v>-911697162.9160296</v>
      </c>
      <c r="H11" s="18">
        <f>-H6*H19</f>
        <v>-958574357.9642526</v>
      </c>
      <c r="I11" s="18">
        <f>-I6*I19</f>
        <v>-1006873541.6850772</v>
      </c>
      <c r="J11" s="18">
        <f>-J6*J19</f>
        <v>-1056597042.3332253</v>
      </c>
      <c r="K11" s="18">
        <f>-K6*K19</f>
        <v>-1107745099.214867</v>
      </c>
    </row>
    <row r="12" spans="1:11" x14ac:dyDescent="0.25">
      <c r="A12" t="s">
        <v>55</v>
      </c>
      <c r="B12" s="18">
        <f>-(B6-Assumptions!B29)*Assumptions!B11</f>
        <v>-90704859.54645528</v>
      </c>
      <c r="C12" s="18">
        <f>-(C6-B6)*Assumptions!B11</f>
        <v>-54105923.94146619</v>
      </c>
      <c r="D12" s="18">
        <f>-(D6-C6)*Assumptions!B11</f>
        <v>-54817792.01505661</v>
      </c>
      <c r="E12" s="18">
        <f>-(E6-D6)*Assumptions!B11</f>
        <v>-55503916.1547622</v>
      </c>
      <c r="F12" s="18">
        <f>-(F6-E6)*Assumptions!B11</f>
        <v>-56162704.239094846</v>
      </c>
      <c r="G12" s="18">
        <f>-(G6-F6)*Assumptions!B11</f>
        <v>-56792564.8122175</v>
      </c>
      <c r="H12" s="18">
        <f>-(H6-G6)*Assumptions!B11</f>
        <v>-57391910.436107166</v>
      </c>
      <c r="I12" s="18">
        <f>-(I6-H6)*Assumptions!B11</f>
        <v>-57959161.12766966</v>
      </c>
      <c r="J12" s="18">
        <f>-(J6-I6)*Assumptions!B11</f>
        <v>-58492747.87311086</v>
      </c>
      <c r="K12" s="18">
        <f>-(K6-J6)*Assumptions!B11</f>
        <v>-58991116.21144097</v>
      </c>
    </row>
    <row r="13" spans="1:11" x14ac:dyDescent="0.25">
      <c r="A13" s="19" t="s">
        <v>56</v>
      </c>
      <c r="B13" s="20">
        <f>B9+B10+B11+B12</f>
        <v>3381690117.3688946</v>
      </c>
      <c r="C13" s="20">
        <f>C9+C10+C11+C12</f>
        <v>3496666691.2679806</v>
      </c>
      <c r="D13" s="20">
        <f>D9+D10+D11+D12</f>
        <v>3574506575.297906</v>
      </c>
      <c r="E13" s="20">
        <f>E9+E10+E11+E12</f>
        <v>3652478426.544409</v>
      </c>
      <c r="F13" s="20">
        <f>F9+F10+F11+F12</f>
        <v>3730514167.874688</v>
      </c>
      <c r="G13" s="20">
        <f>G9+G10+G11+G12</f>
        <v>3808544025.3455596</v>
      </c>
      <c r="H13" s="20">
        <f>H9+H10+H11+H12</f>
        <v>3886496613.2869163</v>
      </c>
      <c r="I13" s="20">
        <f>I9+I10+I11+I12</f>
        <v>3964299025.0615625</v>
      </c>
      <c r="J13" s="20">
        <f>J9+J10+J11+J12</f>
        <v>4041876929.3973284</v>
      </c>
      <c r="K13" s="20">
        <f>K9+K10+K11+K12</f>
        <v>4119154672.1674476</v>
      </c>
    </row>
    <row r="14" spans="1:11" x14ac:dyDescent="0.25">
      <c r="A14" t="s">
        <v>57</v>
      </c>
      <c r="B14" s="21">
        <f>1/(1+Assumptions!$B$26)^(1-0.5*Assumptions!$B$32)</f>
        <v>0.9672065444926431</v>
      </c>
      <c r="C14" s="21">
        <f>1/(1+Assumptions!$B$26)^(2-0.5*Assumptions!$B$32)</f>
        <v>0.9048105992165346</v>
      </c>
      <c r="D14" s="21">
        <f>1/(1+Assumptions!$B$26)^(3-0.5*Assumptions!$B$32)</f>
        <v>0.8464399099822384</v>
      </c>
      <c r="E14" s="21">
        <f>1/(1+Assumptions!$B$26)^(4-0.5*Assumptions!$B$32)</f>
        <v>0.791834801483443</v>
      </c>
      <c r="F14" s="21">
        <f>1/(1+Assumptions!$B$26)^(5-0.5*Assumptions!$B$32)</f>
        <v>0.7407523504574358</v>
      </c>
      <c r="G14" s="21">
        <f>1/(1+Assumptions!$B$26)^(6-0.5*Assumptions!$B$32)</f>
        <v>0.6929653049856377</v>
      </c>
      <c r="H14" s="21">
        <f>1/(1+Assumptions!$B$26)^(7-0.5*Assumptions!$B$32)</f>
        <v>0.6482610735116802</v>
      </c>
      <c r="I14" s="21">
        <f>1/(1+Assumptions!$B$26)^(8-0.5*Assumptions!$B$32)</f>
        <v>0.6064407790794462</v>
      </c>
      <c r="J14" s="21">
        <f>1/(1+Assumptions!$B$26)^(9-0.5*Assumptions!$B$32)</f>
        <v>0.5673183745836302</v>
      </c>
      <c r="K14" s="21">
        <f>1/(1+Assumptions!$B$26)^(10-0.5*Assumptions!$B$32)</f>
        <v>0.5307198150968151</v>
      </c>
    </row>
    <row r="15" spans="1:11" x14ac:dyDescent="0.25">
      <c r="A15" s="19" t="s">
        <v>58</v>
      </c>
      <c r="B15" s="20">
        <f>B13*B14</f>
        <v>3270792812.965289</v>
      </c>
      <c r="C15" s="20">
        <f>C13*C14</f>
        <v>3163821084.186679</v>
      </c>
      <c r="D15" s="20">
        <f>D13*D14</f>
        <v>3025605023.826079</v>
      </c>
      <c r="E15" s="20">
        <f>E13*E14</f>
        <v>2892159529.8053503</v>
      </c>
      <c r="F15" s="20">
        <f>F13*F14</f>
        <v>2763387138.2679405</v>
      </c>
      <c r="G15" s="20">
        <f>G13*G14</f>
        <v>2639188872.074814</v>
      </c>
      <c r="H15" s="20">
        <f>H13*H14</f>
        <v>2519464466.7288857</v>
      </c>
      <c r="I15" s="20">
        <f>I13*I14</f>
        <v>2404112589.262223</v>
      </c>
      <c r="J15" s="20">
        <f>J13*J14</f>
        <v>2293031049.8527665</v>
      </c>
      <c r="K15" s="20">
        <f>K13*K14</f>
        <v>2186117005.96789</v>
      </c>
    </row>
    <row r="17" spans="1:2" x14ac:dyDescent="0.25">
      <c r="A17" s="22" t="s">
        <v>59</v>
      </c>
      <c r="B17" s="23">
        <f>SUM(B15:K15)</f>
        <v>27157679572.93792</v>
      </c>
    </row>
    <row r="19" spans="1:11" x14ac:dyDescent="0.25">
      <c r="A19" t="s">
        <v>7</v>
      </c>
      <c r="B19" s="9">
        <f>Assumptions!$B$10+($B$20-Assumptions!$B$10)*0/9</f>
        <v>0.03263799151208212</v>
      </c>
      <c r="C19" s="9">
        <f>Assumptions!$B$10+($B$20-Assumptions!$B$10)*1/9</f>
        <v>0.0335499753805141</v>
      </c>
      <c r="D19" s="9">
        <f>Assumptions!$B$10+($B$20-Assumptions!$B$10)*2/9</f>
        <v>0.034461959248946086</v>
      </c>
      <c r="E19" s="9">
        <f>Assumptions!$B$10+($B$20-Assumptions!$B$10)*3/9</f>
        <v>0.03537394311737807</v>
      </c>
      <c r="F19" s="9">
        <f>Assumptions!$B$10+($B$20-Assumptions!$B$10)*4/9</f>
        <v>0.036285926985810055</v>
      </c>
      <c r="G19" s="9">
        <f>Assumptions!$B$10+($B$20-Assumptions!$B$10)*5/9</f>
        <v>0.03719791085424204</v>
      </c>
      <c r="H19" s="9">
        <f>Assumptions!$B$10+($B$20-Assumptions!$B$10)*6/9</f>
        <v>0.03810989472267402</v>
      </c>
      <c r="I19" s="9">
        <f>Assumptions!$B$10+($B$20-Assumptions!$B$10)*7/9</f>
        <v>0.03902187859110601</v>
      </c>
      <c r="J19" s="9">
        <f>Assumptions!$B$10+($B$20-Assumptions!$B$10)*8/9</f>
        <v>0.03993386245953799</v>
      </c>
      <c r="K19" s="9">
        <f>Assumptions!$B$10+($B$20-Assumptions!$B$10)*9/9</f>
        <v>0.040845846327969976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0.040845846327969976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4119154672.1674476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4469017311.225019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0.06508623766471792</v>
      </c>
    </row>
    <row r="7" spans="1:2" x14ac:dyDescent="0.25">
      <c r="A7" t="s">
        <v>66</v>
      </c>
      <c r="B7" s="18">
        <f>-MAX(B5,0)*B6</f>
        <v>-290871522.8461303</v>
      </c>
    </row>
    <row r="8" spans="1:2" x14ac:dyDescent="0.25">
      <c r="A8" t="s">
        <v>67</v>
      </c>
      <c r="B8" s="18">
        <f>IF(OR(Assumptions!$B$33=0,Assumptions!B12&lt;=0),B5,MAX(B5+B7,0))</f>
        <v>4178145788.378889</v>
      </c>
    </row>
    <row r="9" spans="1:2" x14ac:dyDescent="0.25">
      <c r="A9" t="s">
        <v>68</v>
      </c>
      <c r="B9" s="18">
        <f>B8*(1+Assumptions!B12)/(Assumptions!B26-Assumptions!B12)</f>
        <v>97419863857.77731</v>
      </c>
    </row>
    <row r="10" spans="1:2" x14ac:dyDescent="0.25">
      <c r="A10" t="s">
        <v>69</v>
      </c>
      <c r="B10" s="18">
        <f>B9/(1+Assumptions!B26)^(10-0.5*Assumptions!B32)</f>
        <v>51702652133.356476</v>
      </c>
    </row>
    <row r="11" spans="1:2" x14ac:dyDescent="0.25">
      <c r="A11" t="s">
        <v>70</v>
      </c>
      <c r="B11" s="18">
        <f>Forecast!B17+B10</f>
        <v>78860331706.2944</v>
      </c>
    </row>
    <row r="12" spans="1:2" x14ac:dyDescent="0.25">
      <c r="A12" t="s">
        <v>71</v>
      </c>
      <c r="B12" s="18">
        <f>-Assumptions!B30</f>
        <v>-7266000000</v>
      </c>
    </row>
    <row r="13" spans="1:2" x14ac:dyDescent="0.25">
      <c r="A13" t="s">
        <v>72</v>
      </c>
      <c r="B13" s="18">
        <f>B11+B12</f>
        <v>71594331706.2944</v>
      </c>
    </row>
    <row r="14" spans="1:2" x14ac:dyDescent="0.25">
      <c r="A14" s="19" t="s">
        <v>73</v>
      </c>
      <c r="B14" s="24">
        <f>B13/Assumptions!B31</f>
        <v>88.26819344876637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6473857514.628254</v>
      </c>
    </row>
    <row r="18" spans="1:2" x14ac:dyDescent="0.25">
      <c r="A18" t="s">
        <v>68</v>
      </c>
      <c r="B18" s="18">
        <f>B17*Assumptions!B13</f>
        <v>110512162648.6778</v>
      </c>
    </row>
    <row r="19" spans="1:2" x14ac:dyDescent="0.25">
      <c r="A19" t="s">
        <v>69</v>
      </c>
      <c r="B19" s="18">
        <f>B18/(1+Assumptions!B26)^(10-0.5*Assumptions!B32)</f>
        <v>58650994526.85544</v>
      </c>
    </row>
    <row r="20" spans="1:2" x14ac:dyDescent="0.25">
      <c r="A20" t="s">
        <v>70</v>
      </c>
      <c r="B20" s="18">
        <f>Forecast!B17+B19</f>
        <v>85808674099.79337</v>
      </c>
    </row>
    <row r="21" spans="1:2" x14ac:dyDescent="0.25">
      <c r="A21" t="s">
        <v>71</v>
      </c>
      <c r="B21" s="18">
        <f>-Assumptions!B30</f>
        <v>-7266000000</v>
      </c>
    </row>
    <row r="22" spans="1:2" x14ac:dyDescent="0.25">
      <c r="A22" t="s">
        <v>72</v>
      </c>
      <c r="B22" s="18">
        <f>B20+B21</f>
        <v>78542674099.79337</v>
      </c>
    </row>
    <row r="23" spans="1:2" x14ac:dyDescent="0.25">
      <c r="A23" s="19" t="s">
        <v>73</v>
      </c>
      <c r="B23" s="25">
        <f>B22/Assumptions!B31</f>
        <v>96.83476032522915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95.29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88.26819344876637</v>
      </c>
    </row>
    <row r="29" spans="1:2" x14ac:dyDescent="0.25">
      <c r="A29" s="19" t="s">
        <v>81</v>
      </c>
      <c r="B29" s="11">
        <f>B28/B26-1</f>
        <v>-0.07368880838738212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0.04896</v>
      </c>
      <c r="B5" s="31">
        <v>128.61078746820053</v>
      </c>
      <c r="C5" s="31">
        <v>144.69501827632033</v>
      </c>
      <c r="D5" s="31">
        <v>167.57420456296472</v>
      </c>
      <c r="E5" s="31">
        <v>202.62410224468803</v>
      </c>
      <c r="F5" s="31">
        <v>262.9221232789532</v>
      </c>
    </row>
    <row r="6" spans="1:6" x14ac:dyDescent="0.25">
      <c r="A6" s="30">
        <v>0.05896</v>
      </c>
      <c r="B6" s="31">
        <v>97.4195908601963</v>
      </c>
      <c r="C6" s="31">
        <v>105.60132793706127</v>
      </c>
      <c r="D6" s="31">
        <v>116.24691567404075</v>
      </c>
      <c r="E6" s="31">
        <v>130.63251981359736</v>
      </c>
      <c r="F6" s="31">
        <v>151.09955296168505</v>
      </c>
    </row>
    <row r="7" spans="1:6" x14ac:dyDescent="0.25">
      <c r="A7" s="30">
        <v>0.06896</v>
      </c>
      <c r="B7" s="31">
        <v>77.80750500836571</v>
      </c>
      <c r="C7" s="31">
        <v>82.48602475118952</v>
      </c>
      <c r="D7" s="32">
        <v>88.26868640915346</v>
      </c>
      <c r="E7" s="31">
        <v>95.58059595574589</v>
      </c>
      <c r="F7" s="31">
        <v>105.0972162393009</v>
      </c>
    </row>
    <row r="8" spans="1:6" x14ac:dyDescent="0.25">
      <c r="A8" s="30">
        <v>0.07896</v>
      </c>
      <c r="B8" s="31">
        <v>64.3420177556813</v>
      </c>
      <c r="C8" s="31">
        <v>67.21818838988105</v>
      </c>
      <c r="D8" s="31">
        <v>70.65810163972597</v>
      </c>
      <c r="E8" s="31">
        <v>74.83447276736231</v>
      </c>
      <c r="F8" s="31">
        <v>79.9985954071593</v>
      </c>
    </row>
    <row r="9" spans="1:6" x14ac:dyDescent="0.25">
      <c r="A9" s="30">
        <v>0.08896</v>
      </c>
      <c r="B9" s="31">
        <v>54.52881778226444</v>
      </c>
      <c r="C9" s="31">
        <v>56.38328323719221</v>
      </c>
      <c r="D9" s="31">
        <v>58.55222604969398</v>
      </c>
      <c r="E9" s="31">
        <v>61.11565233177128</v>
      </c>
      <c r="F9" s="31">
        <v>64.18322205458114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20382000000</v>
      </c>
      <c r="C5" s="18">
        <v>20101000000</v>
      </c>
      <c r="D5" s="18">
        <v>19457000000</v>
      </c>
      <c r="E5" s="18">
        <v>17967000000</v>
      </c>
      <c r="F5" s="6" t="s">
        <v>91</v>
      </c>
    </row>
    <row r="6" spans="1:6" x14ac:dyDescent="0.25">
      <c r="A6" t="s">
        <v>51</v>
      </c>
      <c r="B6" s="18">
        <v>4233000000</v>
      </c>
      <c r="C6" s="18">
        <v>4330000000</v>
      </c>
      <c r="D6" s="18">
        <v>4085000000</v>
      </c>
      <c r="E6" s="18">
        <v>3617000000</v>
      </c>
      <c r="F6" s="6" t="s">
        <v>92</v>
      </c>
    </row>
    <row r="7" spans="1:6" x14ac:dyDescent="0.25">
      <c r="A7" t="s">
        <v>93</v>
      </c>
      <c r="B7" s="18">
        <v>630000000</v>
      </c>
      <c r="C7" s="18">
        <v>605000000</v>
      </c>
      <c r="D7" s="18">
        <v>567000000</v>
      </c>
      <c r="E7" s="18">
        <v>545000000</v>
      </c>
      <c r="F7" s="6" t="s">
        <v>94</v>
      </c>
    </row>
    <row r="8" spans="1:6" x14ac:dyDescent="0.25">
      <c r="A8" t="s">
        <v>95</v>
      </c>
      <c r="B8" s="18">
        <v>564000000</v>
      </c>
      <c r="C8" s="18">
        <v>561000000</v>
      </c>
      <c r="D8" s="18">
        <v>705000000</v>
      </c>
      <c r="E8" s="18">
        <v>696000000</v>
      </c>
      <c r="F8" s="6" t="s">
        <v>96</v>
      </c>
    </row>
    <row r="9" spans="1:6" x14ac:dyDescent="0.25">
      <c r="A9" t="s">
        <v>97</v>
      </c>
      <c r="B9" s="18">
        <v>-284000000</v>
      </c>
      <c r="C9" s="18">
        <v>-344000000</v>
      </c>
      <c r="D9" s="18">
        <v>-455000000</v>
      </c>
      <c r="E9" s="18">
        <v>726000000</v>
      </c>
      <c r="F9" s="6" t="s">
        <v>98</v>
      </c>
    </row>
    <row r="10" spans="1:6" x14ac:dyDescent="0.25">
      <c r="A10" t="s">
        <v>99</v>
      </c>
      <c r="B10" s="18">
        <v>8554000000</v>
      </c>
      <c r="C10" s="18">
        <v>8512000000</v>
      </c>
      <c r="D10" s="18">
        <v>9064000000</v>
      </c>
      <c r="E10" s="18">
        <v>9271000000</v>
      </c>
      <c r="F10" s="6" t="s">
        <v>100</v>
      </c>
    </row>
    <row r="11" spans="1:6" x14ac:dyDescent="0.25">
      <c r="A11" t="s">
        <v>101</v>
      </c>
      <c r="B11" s="18">
        <v>1288000000</v>
      </c>
      <c r="C11" s="18">
        <v>1096000000</v>
      </c>
      <c r="D11" s="18">
        <v>966000000</v>
      </c>
      <c r="E11" s="18">
        <v>775000000</v>
      </c>
      <c r="F11" s="6" t="s">
        <v>102</v>
      </c>
    </row>
    <row r="12" spans="1:6" x14ac:dyDescent="0.25">
      <c r="A12" t="s">
        <v>34</v>
      </c>
      <c r="B12" s="34">
        <v>811100000</v>
      </c>
      <c r="C12" s="34">
        <v>823200000</v>
      </c>
      <c r="D12" s="34">
        <v>829200000</v>
      </c>
      <c r="E12" s="34">
        <v>838800000</v>
      </c>
      <c r="F12" s="6" t="s">
        <v>103</v>
      </c>
    </row>
    <row r="15" spans="1:1" x14ac:dyDescent="0.25">
      <c r="A15" s="19" t="s">
        <v>104</v>
      </c>
    </row>
    <row r="17" spans="1:1" x14ac:dyDescent="0.25">
      <c r="A17" s="35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