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<sst xmlns="http://schemas.openxmlformats.org/spreadsheetml/2006/main" count="114" uniqueCount="102">
  <si>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Celestica Inc. (CLS.TO)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</si>
  <si>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</si>
  <si>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</si>
  <si>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</si>
  <si>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</si>
  <si>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</si>
  <si>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</si>
  <si>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</si>
  <si>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</si>
  <si>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</si>
  <si>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</si>
  <si>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</si>
  <si>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</si>
  <si>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</si>
  <si>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</si>
  <si>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</si>
  <si>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</si>
  <si>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</si>
  <si>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</si>
  <si>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</si>
  <si>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</si>
  <si>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</si>
  <si>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</si>
  <si>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</si>
  <si>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</si>
  <si>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</si>
  <si>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</si>
  <si>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</si>
  <si>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</si>
  <si>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</si>
  <si>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</si>
  <si>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</si>
  <si>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</si>
  <si>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</si>
  <si>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</si>
  <si>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</si>
  <si>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</si>
  <si>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</si>
  <si>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</si>
  <si>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</si>
  <si>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</si>
  <si>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</si>
  <si>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</si>
  <si>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</si>
  <si>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</si>
  <si>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</si>
  <si>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</si>
  <si>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</si>
  <si>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</si>
  <si>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</si>
  <si>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</si>
  <si>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</si>
  <si>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</si>
  <si>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</si>
  <si>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</si>
  <si>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</si>
  <si>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</si>
  <si>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</si>
  <si>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</si>
  <si>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</si>
  <si>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</si>
  <si>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</si>
  <si>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</si>
  <si>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</si>
  <si>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</si>
  <si>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</si>
  <si>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</si>
  <si>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</si>
  <si>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</si>
  <si>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</si>
  <si>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</si>
  <si>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</si>
  <si>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</si>
  <si>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</si>
  <si>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</si>
  <si>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</si>
  <si>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</si>
  <si>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</si>
  <si>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</si>
  <si>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</si>
  <si>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</si>
  <si>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</si>
  <si>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</si>
  <si>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</si>
  <si>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</si>
  <si>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</si>
  <si>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</si>
  <si>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</si>
  <si>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</si>
  <si>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</si>
  <si>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</si>
  <si>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</si>
  <si>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</si>
  <si>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</si>
  <si>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</si>
  <si>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</si>
  <si>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</si>
  <si>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</si>
  <si>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</si>
  <si>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</si>
  <si>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Current EV/EBITDA of 47.2x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</si>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</sst>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0.1956065395826807</v>
      </c>
    </row>
    <row r="7" spans="1:2" x14ac:dyDescent="0.25">
      <c r="A7" t="s">
        <v>5</v>
      </c>
      <c r="B7" s="6">
        <v>0.058842177612743136</v>
      </c>
    </row>
    <row r="8" spans="1:2" x14ac:dyDescent="0.25">
      <c r="A8" t="s">
        <v>6</v>
      </c>
      <c r="B8" s="6">
        <v>0.19854912276823544</v>
      </c>
    </row>
    <row r="9" spans="1:2" x14ac:dyDescent="0.25">
      <c r="A9" t="s">
        <v>7</v>
      </c>
      <c r="B9" s="6">
        <v>0.015585881164688724</v>
      </c>
    </row>
    <row r="10" spans="1:2" x14ac:dyDescent="0.25">
      <c r="A10" t="s">
        <v>8</v>
      </c>
      <c r="B10" s="6">
        <v>0.0161758750858935</v>
      </c>
    </row>
    <row r="11" spans="1:2" x14ac:dyDescent="0.25">
      <c r="A11" t="s">
        <v>9</v>
      </c>
      <c r="B11" s="6">
        <v>0.04195845697329377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0.14947303355467548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1.31088</v>
      </c>
      <c r="C19" s="8" t="s">
        <v>19</v>
      </c>
    </row>
    <row r="20" spans="1:2" x14ac:dyDescent="0.25">
      <c r="A20" t="s">
        <v>20</v>
      </c>
      <c r="B20" s="10">
        <f>B17+B19*B18</f>
        <v>0.10509840000000001</v>
      </c>
    </row>
    <row r="21" spans="1:3" x14ac:dyDescent="0.25">
      <c r="A21" t="s">
        <v>21</v>
      </c>
      <c r="B21" s="6">
        <v>0.06687007373506229</v>
      </c>
      <c r="C21" s="8" t="s">
        <v>22</v>
      </c>
    </row>
    <row r="22" spans="1:2" x14ac:dyDescent="0.25">
      <c r="A22" t="s">
        <v>23</v>
      </c>
      <c r="B22" s="11">
        <v>58658066432</v>
      </c>
    </row>
    <row r="23" spans="1:2" x14ac:dyDescent="0.25">
      <c r="A23" t="s">
        <v>24</v>
      </c>
      <c r="B23" s="11">
        <v>776500000</v>
      </c>
    </row>
    <row r="24" spans="1:2" x14ac:dyDescent="0.25">
      <c r="A24" t="s">
        <v>25</v>
      </c>
      <c r="B24" s="10">
        <f>B22/(B22+B23)</f>
        <v>0.9869352121734007</v>
      </c>
    </row>
    <row r="25" spans="1:2" x14ac:dyDescent="0.25">
      <c r="A25" t="s">
        <v>26</v>
      </c>
      <c r="B25" s="10">
        <f>1-B24</f>
        <v>0.013064787826599256</v>
      </c>
    </row>
    <row r="26" spans="1:2" x14ac:dyDescent="0.25">
      <c r="A26" t="s">
        <v>27</v>
      </c>
      <c r="B26" s="12">
        <f>B24*B20+B25*B21*(1-B8)</f>
        <v>0.10442549391253242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12390900000</v>
      </c>
      <c r="C29" s="8" t="s">
        <v>30</v>
      </c>
    </row>
    <row r="30" spans="1:2" x14ac:dyDescent="0.25">
      <c r="A30" t="s">
        <v>31</v>
      </c>
      <c r="B30" s="11">
        <v>180900000</v>
      </c>
    </row>
    <row r="31" spans="1:2" x14ac:dyDescent="0.25">
      <c r="A31" t="s">
        <v>32</v>
      </c>
      <c r="B31" s="13">
        <v>116200000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0.1956065395826807</v>
      </c>
      <c r="C5" s="10">
        <f>Assumptions!B6</f>
        <v>0.1956065395826807</v>
      </c>
      <c r="D5" s="10">
        <f>Assumptions!B6</f>
        <v>0.1956065395826807</v>
      </c>
      <c r="E5" s="10">
        <f>Assumptions!B6</f>
        <v>0.1956065395826807</v>
      </c>
      <c r="F5" s="10">
        <f>Assumptions!B6</f>
        <v>0.1956065395826807</v>
      </c>
    </row>
    <row r="6" spans="1:6" x14ac:dyDescent="0.25">
      <c r="A6" t="s">
        <v>43</v>
      </c>
      <c r="B6" s="18">
        <f>Assumptions!B29*(1+B5)</f>
        <v>14814641071.315039</v>
      </c>
      <c r="C6" s="18">
        <f>B6*(1+C5)</f>
        <v>17712481746.434433</v>
      </c>
      <c r="D6" s="18">
        <f>C6*(1+D5)</f>
        <v>21177159008.275867</v>
      </c>
      <c r="E6" s="18">
        <f>D6*(1+E5)</f>
        <v>25319549800.076904</v>
      </c>
      <c r="F6" s="18">
        <f>E6*(1+F5)</f>
        <v>30272219320.261303</v>
      </c>
    </row>
    <row r="7" spans="1:6" x14ac:dyDescent="0.25">
      <c r="A7" t="s">
        <v>5</v>
      </c>
      <c r="B7" s="10">
        <f>Assumptions!B7</f>
        <v>0.058842177612743136</v>
      </c>
      <c r="C7" s="10">
        <f>Assumptions!B7</f>
        <v>0.058842177612743136</v>
      </c>
      <c r="D7" s="10">
        <f>Assumptions!B7</f>
        <v>0.058842177612743136</v>
      </c>
      <c r="E7" s="10">
        <f>Assumptions!B7</f>
        <v>0.058842177612743136</v>
      </c>
      <c r="F7" s="10">
        <f>Assumptions!B7</f>
        <v>0.058842177612743136</v>
      </c>
    </row>
    <row r="8" spans="1:6" x14ac:dyDescent="0.25">
      <c r="A8" t="s">
        <v>44</v>
      </c>
      <c r="B8" s="18">
        <f>B6*B7</f>
        <v>871725741.1873587</v>
      </c>
      <c r="C8" s="18">
        <f>C6*C7</f>
        <v>1042240996.8861656</v>
      </c>
      <c r="D8" s="18">
        <f>D6*D7</f>
        <v>1246110151.698272</v>
      </c>
      <c r="E8" s="18">
        <f>E6*E7</f>
        <v>1489857446.4108202</v>
      </c>
      <c r="F8" s="18">
        <f>F6*F7</f>
        <v>1781283305.9747298</v>
      </c>
    </row>
    <row r="9" spans="1:6" x14ac:dyDescent="0.25">
      <c r="A9" t="s">
        <v>45</v>
      </c>
      <c r="B9" s="18">
        <f>B8*(1-Assumptions!B8)</f>
        <v>698645359.9801189</v>
      </c>
      <c r="C9" s="18">
        <f>C8*(1-Assumptions!B8)</f>
        <v>835304961.2413262</v>
      </c>
      <c r="D9" s="18">
        <f>D8*(1-Assumptions!B8)</f>
        <v>998696074.2059873</v>
      </c>
      <c r="E9" s="18">
        <f>E8*(1-Assumptions!B8)</f>
        <v>1194047557.3762286</v>
      </c>
      <c r="F9" s="18">
        <f>F8*(1-Assumptions!B8)</f>
        <v>1427611068.1717448</v>
      </c>
    </row>
    <row r="10" spans="1:6" x14ac:dyDescent="0.25">
      <c r="A10" t="s">
        <v>46</v>
      </c>
      <c r="B10" s="18">
        <f>B6*Assumptions!B9</f>
        <v>230899235.23503304</v>
      </c>
      <c r="C10" s="18">
        <f>C6*Assumptions!B9</f>
        <v>276064635.63164526</v>
      </c>
      <c r="D10" s="18">
        <f>D6*Assumptions!B9</f>
        <v>330064683.70870495</v>
      </c>
      <c r="E10" s="18">
        <f>E6*Assumptions!B9</f>
        <v>394627494.3274168</v>
      </c>
      <c r="F10" s="18">
        <f>F6*Assumptions!B9</f>
        <v>471819212.9169867</v>
      </c>
    </row>
    <row r="11" spans="1:6" x14ac:dyDescent="0.25">
      <c r="A11" t="s">
        <v>47</v>
      </c>
      <c r="B11" s="18">
        <f>-B6*Assumptions!B10</f>
        <v>-239639783.41193953</v>
      </c>
      <c r="C11" s="18">
        <f>-C6*Assumptions!B10</f>
        <v>-286514892.19149214</v>
      </c>
      <c r="D11" s="18">
        <f>-D6*Assumptions!B10</f>
        <v>-342559078.7919747</v>
      </c>
      <c r="E11" s="18">
        <f>-E6*Assumptions!B10</f>
        <v>-409565874.79710376</v>
      </c>
      <c r="F11" s="18">
        <f>-F6*Assumptions!B10</f>
        <v>-489679638.2973187</v>
      </c>
    </row>
    <row r="12" spans="1:6" x14ac:dyDescent="0.25">
      <c r="A12" t="s">
        <v>48</v>
      </c>
      <c r="B12" s="18">
        <f>-(B6-Assumptions!B29)*Assumptions!B11</f>
        <v>-101696435.455177</v>
      </c>
      <c r="C12" s="18">
        <f>-(C6-B6)*Assumptions!B11</f>
        <v>-121588923.28245768</v>
      </c>
      <c r="D12" s="18">
        <f>-(D6-C6)*Assumptions!B11</f>
        <v>-145372511.8173231</v>
      </c>
      <c r="E12" s="18">
        <f>-(E6-D6)*Assumptions!B11</f>
        <v>-173808325.8043521</v>
      </c>
      <c r="F12" s="18">
        <f>-(F6-E6)*Assumptions!B11</f>
        <v>-207806370.96560058</v>
      </c>
    </row>
    <row r="13" spans="1:6" x14ac:dyDescent="0.25">
      <c r="A13" s="19" t="s">
        <v>49</v>
      </c>
      <c r="B13" s="20">
        <f>B9+B10+B11+B12</f>
        <v>588208376.3480355</v>
      </c>
      <c r="C13" s="20">
        <f>C9+C10+C11+C12</f>
        <v>703265781.3990217</v>
      </c>
      <c r="D13" s="20">
        <f>D9+D10+D11+D12</f>
        <v>840829167.3053945</v>
      </c>
      <c r="E13" s="20">
        <f>E9+E10+E11+E12</f>
        <v>1005300851.1021893</v>
      </c>
      <c r="F13" s="20">
        <f>F9+F10+F11+F12</f>
        <v>1201944271.8258123</v>
      </c>
    </row>
    <row r="14" spans="1:6" x14ac:dyDescent="0.25">
      <c r="A14" t="s">
        <v>50</v>
      </c>
      <c r="B14" s="21">
        <f>1/(1+Assumptions!$B$26)^(1-0.5*Assumptions!$B$32)</f>
        <v>0.9515503831333311</v>
      </c>
      <c r="C14" s="21">
        <f>1/(1+Assumptions!$B$26)^(2-0.5*Assumptions!$B$32)</f>
        <v>0.8615795165705323</v>
      </c>
      <c r="D14" s="21">
        <f>1/(1+Assumptions!$B$26)^(3-0.5*Assumptions!$B$32)</f>
        <v>0.7801155635391074</v>
      </c>
      <c r="E14" s="21">
        <f>1/(1+Assumptions!$B$26)^(4-0.5*Assumptions!$B$32)</f>
        <v>0.7063541794706982</v>
      </c>
      <c r="F14" s="21">
        <f>1/(1+Assumptions!$B$26)^(5-0.5*Assumptions!$B$32)</f>
        <v>0.6395670720786889</v>
      </c>
    </row>
    <row r="15" spans="1:6" x14ac:dyDescent="0.25">
      <c r="A15" s="19" t="s">
        <v>51</v>
      </c>
      <c r="B15" s="20">
        <f>B13*B14</f>
        <v>559709905.8762077</v>
      </c>
      <c r="C15" s="20">
        <f>C13*C14</f>
        <v>605919391.9583669</v>
      </c>
      <c r="D15" s="20">
        <f>D13*D14</f>
        <v>655943919.6925663</v>
      </c>
      <c r="E15" s="20">
        <f>E13*E14</f>
        <v>710098457.8014815</v>
      </c>
      <c r="F15" s="20">
        <f>F13*F14</f>
        <v>768723978.7333865</v>
      </c>
    </row>
    <row r="17" spans="1:2" x14ac:dyDescent="0.25">
      <c r="A17" s="22" t="s">
        <v>52</v>
      </c>
      <c r="B17" s="23">
        <f>SUM(B15:F15)</f>
        <v>3300395654.0620093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1201944271.8258123</v>
      </c>
    </row>
    <row r="5" spans="1:2" x14ac:dyDescent="0.25">
      <c r="A5" t="s">
        <v>56</v>
      </c>
      <c r="B5" s="18">
        <f>IF(Assumptions!$B$33=0,B4,B4-Forecast!F11-Forecast!F10-Forecast!F12)</f>
        <v>1427611068.1717448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0.16725424918104237</v>
      </c>
    </row>
    <row r="7" spans="1:2" x14ac:dyDescent="0.25">
      <c r="A7" t="s">
        <v>58</v>
      </c>
      <c r="B7" s="18">
        <f>-MAX(Forecast!F9,0)*B6</f>
        <v>-238774017.32961106</v>
      </c>
    </row>
    <row r="8" spans="1:2" x14ac:dyDescent="0.25">
      <c r="A8" t="s">
        <v>59</v>
      </c>
      <c r="B8" s="18">
        <f>IF(OR(Assumptions!$B$33=0,Assumptions!B12&lt;=0),B5,MAX(B5+B7,0))</f>
        <v>1188837050.8421338</v>
      </c>
    </row>
    <row r="9" spans="1:2" x14ac:dyDescent="0.25">
      <c r="A9" t="s">
        <v>60</v>
      </c>
      <c r="B9" s="18">
        <f>B8*(1+Assumptions!B12)/(Assumptions!B26-Assumptions!B12)</f>
        <v>15342151708.305748</v>
      </c>
    </row>
    <row r="10" spans="1:2" x14ac:dyDescent="0.25">
      <c r="A10" t="s">
        <v>61</v>
      </c>
      <c r="B10" s="18">
        <f>B9/(1+Assumptions!B26)^(5-0.5*Assumptions!B32)</f>
        <v>9812335047.468163</v>
      </c>
    </row>
    <row r="11" spans="1:2" x14ac:dyDescent="0.25">
      <c r="A11" t="s">
        <v>62</v>
      </c>
      <c r="B11" s="18">
        <f>Forecast!B17+B10</f>
        <v>13112730701.530172</v>
      </c>
    </row>
    <row r="12" spans="1:2" x14ac:dyDescent="0.25">
      <c r="A12" t="s">
        <v>63</v>
      </c>
      <c r="B12" s="18">
        <f>-Assumptions!B30</f>
        <v>-180900000</v>
      </c>
    </row>
    <row r="13" spans="1:2" x14ac:dyDescent="0.25">
      <c r="A13" t="s">
        <v>64</v>
      </c>
      <c r="B13" s="18">
        <f>B11+B12</f>
        <v>12931830701.530172</v>
      </c>
    </row>
    <row r="14" spans="1:2" x14ac:dyDescent="0.25">
      <c r="A14" s="19" t="s">
        <v>65</v>
      </c>
      <c r="B14" s="24">
        <f>B13/Assumptions!B31</f>
        <v>111.28942083933023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2253102518.8917165</v>
      </c>
    </row>
    <row r="18" spans="1:2" x14ac:dyDescent="0.25">
      <c r="A18" t="s">
        <v>60</v>
      </c>
      <c r="B18" s="18">
        <f>B17*Assumptions!B13</f>
        <v>45062050377.83433</v>
      </c>
    </row>
    <row r="19" spans="1:2" x14ac:dyDescent="0.25">
      <c r="A19" t="s">
        <v>61</v>
      </c>
      <c r="B19" s="18">
        <f>B18/(1+Assumptions!B26)^(5-0.5*Assumptions!B32)</f>
        <v>28820203622.013878</v>
      </c>
    </row>
    <row r="20" spans="1:2" x14ac:dyDescent="0.25">
      <c r="A20" t="s">
        <v>62</v>
      </c>
      <c r="B20" s="18">
        <f>Forecast!B17+B19</f>
        <v>32120599276.075886</v>
      </c>
    </row>
    <row r="21" spans="1:2" x14ac:dyDescent="0.25">
      <c r="A21" t="s">
        <v>63</v>
      </c>
      <c r="B21" s="18">
        <f>-Assumptions!B30</f>
        <v>-180900000</v>
      </c>
    </row>
    <row r="22" spans="1:2" x14ac:dyDescent="0.25">
      <c r="A22" t="s">
        <v>64</v>
      </c>
      <c r="B22" s="18">
        <f>B20+B21</f>
        <v>31939699276.075886</v>
      </c>
    </row>
    <row r="23" spans="1:2" x14ac:dyDescent="0.25">
      <c r="A23" s="19" t="s">
        <v>65</v>
      </c>
      <c r="B23" s="25">
        <f>B22/Assumptions!B31</f>
        <v>274.86832423473226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465.13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155.60486821755154</v>
      </c>
    </row>
    <row r="29" spans="1:2" x14ac:dyDescent="0.25">
      <c r="A29" s="19" t="s">
        <v>73</v>
      </c>
      <c r="B29" s="12">
        <f>B28/B26-1</f>
        <v>-0.665459402279897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0.084425</v>
      </c>
      <c r="B5" s="31">
        <v>140.47884959327018</v>
      </c>
      <c r="C5" s="31">
        <v>145.264885434097</v>
      </c>
      <c r="D5" s="31">
        <v>150.80828984102007</v>
      </c>
      <c r="E5" s="31">
        <v>157.31780013129136</v>
      </c>
      <c r="F5" s="31">
        <v>165.08661991138993</v>
      </c>
    </row>
    <row r="6" spans="1:6" x14ac:dyDescent="0.25">
      <c r="A6" s="30">
        <v>0.094425</v>
      </c>
      <c r="B6" s="31">
        <v>121.65607712429507</v>
      </c>
      <c r="C6" s="31">
        <v>124.72068300398858</v>
      </c>
      <c r="D6" s="31">
        <v>128.18727381216564</v>
      </c>
      <c r="E6" s="31">
        <v>132.14944324579568</v>
      </c>
      <c r="F6" s="31">
        <v>136.73228477365097</v>
      </c>
    </row>
    <row r="7" spans="1:6" x14ac:dyDescent="0.25">
      <c r="A7" s="30">
        <v>0.104425</v>
      </c>
      <c r="B7" s="31">
        <v>107.08212263769511</v>
      </c>
      <c r="C7" s="31">
        <v>109.07709442118781</v>
      </c>
      <c r="D7" s="32">
        <v>111.29014966486275</v>
      </c>
      <c r="E7" s="31">
        <v>113.76524203889437</v>
      </c>
      <c r="F7" s="31">
        <v>116.55898741588399</v>
      </c>
    </row>
    <row r="8" spans="1:6" x14ac:dyDescent="0.25">
      <c r="A8" s="30">
        <v>0.114425</v>
      </c>
      <c r="B8" s="31">
        <v>95.47326221142085</v>
      </c>
      <c r="C8" s="31">
        <v>96.77571782038788</v>
      </c>
      <c r="D8" s="31">
        <v>98.19559694708576</v>
      </c>
      <c r="E8" s="31">
        <v>99.75376252033844</v>
      </c>
      <c r="F8" s="31">
        <v>101.4763309606472</v>
      </c>
    </row>
    <row r="9" spans="1:6" x14ac:dyDescent="0.25">
      <c r="A9" s="30">
        <v>0.124425</v>
      </c>
      <c r="B9" s="31">
        <v>86.015122974455</v>
      </c>
      <c r="C9" s="31">
        <v>86.85516862156781</v>
      </c>
      <c r="D9" s="31">
        <v>87.75531935236418</v>
      </c>
      <c r="E9" s="31">
        <v>88.72512323414892</v>
      </c>
      <c r="F9" s="31">
        <v>89.77626377002319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12390900000</v>
      </c>
      <c r="C5" s="18">
        <v>9646000000</v>
      </c>
      <c r="D5" s="18">
        <v>7961000000</v>
      </c>
      <c r="E5" s="18">
        <v>7250000000</v>
      </c>
      <c r="F5" s="8" t="s">
        <v>84</v>
      </c>
    </row>
    <row r="6" spans="1:6" x14ac:dyDescent="0.25">
      <c r="A6" t="s">
        <v>44</v>
      </c>
      <c r="B6" s="18">
        <v>1070400000</v>
      </c>
      <c r="C6" s="18">
        <v>618700000</v>
      </c>
      <c r="D6" s="18">
        <v>350400000</v>
      </c>
      <c r="E6" s="18">
        <v>296000000</v>
      </c>
      <c r="F6" s="8" t="s">
        <v>85</v>
      </c>
    </row>
    <row r="7" spans="1:6" x14ac:dyDescent="0.25">
      <c r="A7" t="s">
        <v>86</v>
      </c>
      <c r="B7" s="18">
        <v>175700000</v>
      </c>
      <c r="C7" s="18">
        <v>151900000</v>
      </c>
      <c r="D7" s="18">
        <v>130800000</v>
      </c>
      <c r="E7" s="18">
        <v>115900000</v>
      </c>
      <c r="F7" s="8" t="s">
        <v>87</v>
      </c>
    </row>
    <row r="8" spans="1:6" x14ac:dyDescent="0.25">
      <c r="A8" t="s">
        <v>88</v>
      </c>
      <c r="B8" s="18">
        <v>201200000</v>
      </c>
      <c r="C8" s="18">
        <v>170900000</v>
      </c>
      <c r="D8" s="18">
        <v>125100000</v>
      </c>
      <c r="E8" s="18">
        <v>109000000</v>
      </c>
      <c r="F8" s="8" t="s">
        <v>89</v>
      </c>
    </row>
    <row r="9" spans="1:6" x14ac:dyDescent="0.25">
      <c r="A9" t="s">
        <v>90</v>
      </c>
      <c r="B9" s="18">
        <v>112100000</v>
      </c>
      <c r="C9" s="18">
        <v>70700000</v>
      </c>
      <c r="D9" s="18">
        <v>61100000</v>
      </c>
      <c r="E9" s="18">
        <v>70300000</v>
      </c>
      <c r="F9" s="8" t="s">
        <v>91</v>
      </c>
    </row>
    <row r="10" spans="1:6" x14ac:dyDescent="0.25">
      <c r="A10" t="s">
        <v>92</v>
      </c>
      <c r="B10" s="18">
        <v>776500000</v>
      </c>
      <c r="C10" s="18">
        <v>796700000</v>
      </c>
      <c r="D10" s="18">
        <v>675300000</v>
      </c>
      <c r="E10" s="18">
        <v>786100000</v>
      </c>
      <c r="F10" s="8" t="s">
        <v>93</v>
      </c>
    </row>
    <row r="11" spans="1:6" x14ac:dyDescent="0.25">
      <c r="A11" t="s">
        <v>94</v>
      </c>
      <c r="B11" s="18">
        <v>595600000</v>
      </c>
      <c r="C11" s="18">
        <v>423300000</v>
      </c>
      <c r="D11" s="18">
        <v>370400000</v>
      </c>
      <c r="E11" s="18">
        <v>374500000</v>
      </c>
      <c r="F11" s="8" t="s">
        <v>95</v>
      </c>
    </row>
    <row r="12" spans="1:6" x14ac:dyDescent="0.25">
      <c r="A12" t="s">
        <v>32</v>
      </c>
      <c r="B12" s="34">
        <v>116200000</v>
      </c>
      <c r="C12" s="34">
        <v>118700000</v>
      </c>
      <c r="D12" s="34">
        <v>120300000</v>
      </c>
      <c r="E12" s="34">
        <v>123600000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2026-09-19T00:06:34Z</dcterms:modified>
</cp:coreProperties>
</file>