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<sst xmlns="http://schemas.openxmlformats.org/spreadsheetml/2006/main" count="115" uniqueCount="101">
  <si>
    <t>Charter Hall Long WALE REIT (CLW.AX)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</si>
  <si>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</si>
  <si>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</si>
  <si>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</si>
  <si>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</si>
  <si>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</si>
  <si>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</si>
  <si>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</si>
  <si>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</si>
  <si>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</si>
  <si>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</si>
  <si>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</si>
  <si>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</si>
  <si>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</si>
  <si>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</si>
  <si>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</si>
  <si>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</si>
  <si>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</si>
  <si>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</si>
  <si>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</si>
  <si>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</si>
  <si>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</si>
  <si>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</si>
  <si>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</si>
  <si>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</si>
  <si>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</si>
  <si>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</si>
  <si>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</si>
  <si>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</si>
  <si>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</si>
  <si>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</si>
  <si>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</si>
  <si>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</si>
  <si>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</si>
  <si>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</si>
  <si>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</si>
  <si>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</si>
  <si>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</si>
  <si>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</si>
  <si>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</si>
  <si>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</si>
  <si>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</si>
  <si>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</si>
  <si>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</si>
  <si>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</si>
  <si>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</si>
  <si>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</si>
  <si>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</si>
  <si>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</si>
  <si>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</si>
  <si>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</si>
  <si>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</si>
  <si>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</si>
  <si>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</si>
  <si>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</si>
  <si>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</si>
  <si>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</si>
  <si>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</si>
  <si>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</si>
  <si>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</si>
  <si>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</si>
  <si>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</si>
  <si>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</si>
  <si>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</si>
  <si>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</si>
  <si>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</si>
  <si>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</si>
  <si>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</si>
  <si>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</si>
  <si>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</si>
  <si>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</si>
  <si>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</si>
  <si>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</si>
  <si>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</si>
  <si>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</si>
  <si>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</si>
  <si>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</si>
  <si>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</si>
  <si>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</si>
  <si>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</si>
  <si>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</si>
  <si>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</si>
  <si>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</si>
  <si>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</si>
  <si>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</si>
  <si>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</si>
  <si>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</si>
  <si>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</si>
  <si>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</si>
  <si>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</si>
  <si>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</si>
  <si>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</si>
  <si>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</si>
  <si>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</si>
  <si>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</si>
  <si>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</si>
  <si>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</si>
  <si>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</si>
  <si>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</si>
  <si>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Current EV/EBITDA of 32.9x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</si>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</sst>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-0.04679225502584894</v>
      </c>
    </row>
    <row r="7" spans="1:2" x14ac:dyDescent="0.25">
      <c r="A7" t="s">
        <v>5</v>
      </c>
      <c r="B7" s="6">
        <v>0.6409719030613023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-0.0025624070094230453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0.0872120257780436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0.90151</v>
      </c>
      <c r="C19" s="8" t="s">
        <v>19</v>
      </c>
    </row>
    <row r="20" spans="1:2" x14ac:dyDescent="0.25">
      <c r="A20" t="s">
        <v>20</v>
      </c>
      <c r="B20" s="10">
        <f>B17+B19*B18</f>
        <v>0.1075706</v>
      </c>
    </row>
    <row r="21" spans="1:3" x14ac:dyDescent="0.25">
      <c r="A21" t="s">
        <v>21</v>
      </c>
      <c r="B21" s="6">
        <v>0.0543285217995998</v>
      </c>
      <c r="C21" s="8" t="s">
        <v>22</v>
      </c>
    </row>
    <row r="22" spans="1:2" x14ac:dyDescent="0.25">
      <c r="A22" t="s">
        <v>23</v>
      </c>
      <c r="B22" s="11">
        <v>2441564416</v>
      </c>
    </row>
    <row r="23" spans="1:2" x14ac:dyDescent="0.25">
      <c r="A23" t="s">
        <v>24</v>
      </c>
      <c r="B23" s="11">
        <v>1511602000</v>
      </c>
    </row>
    <row r="24" spans="1:2" x14ac:dyDescent="0.25">
      <c r="A24" t="s">
        <v>25</v>
      </c>
      <c r="B24" s="10">
        <f>B22/(B22+B23)</f>
        <v>0.6176224724863695</v>
      </c>
    </row>
    <row r="25" spans="1:2" x14ac:dyDescent="0.25">
      <c r="A25" t="s">
        <v>26</v>
      </c>
      <c r="B25" s="10">
        <f>1-B24</f>
        <v>0.3823775275136305</v>
      </c>
    </row>
    <row r="26" spans="1:2" x14ac:dyDescent="0.25">
      <c r="A26" t="s">
        <v>27</v>
      </c>
      <c r="B26" s="12">
        <f>B24*B20+B25*B21*(1-B8)</f>
        <v>0.0872120257780436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191818000</v>
      </c>
      <c r="C29" s="8" t="s">
        <v>30</v>
      </c>
    </row>
    <row r="30" spans="1:2" x14ac:dyDescent="0.25">
      <c r="A30" t="s">
        <v>31</v>
      </c>
      <c r="B30" s="11">
        <v>1493280000</v>
      </c>
    </row>
    <row r="31" spans="1:2" x14ac:dyDescent="0.25">
      <c r="A31" t="s">
        <v>32</v>
      </c>
      <c r="B31" s="13">
        <v>713333000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-0.04679225502584894</v>
      </c>
      <c r="C5" s="10">
        <f>Assumptions!B6</f>
        <v>-0.04679225502584894</v>
      </c>
      <c r="D5" s="10">
        <f>Assumptions!B6</f>
        <v>-0.04679225502584894</v>
      </c>
      <c r="E5" s="10">
        <f>Assumptions!B6</f>
        <v>-0.04679225502584894</v>
      </c>
      <c r="F5" s="10">
        <f>Assumptions!B6</f>
        <v>-0.04679225502584894</v>
      </c>
    </row>
    <row r="6" spans="1:6" x14ac:dyDescent="0.25">
      <c r="A6" t="s">
        <v>43</v>
      </c>
      <c r="B6" s="18">
        <f>Assumptions!B29*(1+B5)</f>
        <v>182842403.2254517</v>
      </c>
      <c r="C6" s="18">
        <f>B6*(1+C5)</f>
        <v>174286794.86418727</v>
      </c>
      <c r="D6" s="18">
        <f>C6*(1+D5)</f>
        <v>166131522.7112644</v>
      </c>
      <c r="E6" s="18">
        <f>D6*(1+E5)</f>
        <v>158357854.1327263</v>
      </c>
      <c r="F6" s="18">
        <f>E6*(1+F5)</f>
        <v>150947933.0368016</v>
      </c>
    </row>
    <row r="7" spans="1:6" x14ac:dyDescent="0.25">
      <c r="A7" t="s">
        <v>5</v>
      </c>
      <c r="B7" s="10">
        <f>Assumptions!B7</f>
        <v>0.6409719030613023</v>
      </c>
      <c r="C7" s="10">
        <f>Assumptions!B7</f>
        <v>0.6409719030613023</v>
      </c>
      <c r="D7" s="10">
        <f>Assumptions!B7</f>
        <v>0.6409719030613023</v>
      </c>
      <c r="E7" s="10">
        <f>Assumptions!B7</f>
        <v>0.6409719030613023</v>
      </c>
      <c r="F7" s="10">
        <f>Assumptions!B7</f>
        <v>0.6409719030613023</v>
      </c>
    </row>
    <row r="8" spans="1:6" x14ac:dyDescent="0.25">
      <c r="A8" t="s">
        <v>44</v>
      </c>
      <c r="B8" s="18">
        <f>B6*B7</f>
        <v>117196843.15571977</v>
      </c>
      <c r="C8" s="18">
        <f>C6*C7</f>
        <v>111712938.58255291</v>
      </c>
      <c r="D8" s="18">
        <f>D6*D7</f>
        <v>106485638.2707111</v>
      </c>
      <c r="E8" s="18">
        <f>E6*E7</f>
        <v>101502935.12815769</v>
      </c>
      <c r="F8" s="18">
        <f>F6*F7</f>
        <v>96753383.90176874</v>
      </c>
    </row>
    <row r="9" spans="1:6" x14ac:dyDescent="0.25">
      <c r="A9" t="s">
        <v>45</v>
      </c>
      <c r="B9" s="18">
        <f>B8*(1-Assumptions!B8)</f>
        <v>117196843.15571977</v>
      </c>
      <c r="C9" s="18">
        <f>C8*(1-Assumptions!B8)</f>
        <v>111712938.58255291</v>
      </c>
      <c r="D9" s="18">
        <f>D8*(1-Assumptions!B8)</f>
        <v>106485638.2707111</v>
      </c>
      <c r="E9" s="18">
        <f>E8*(1-Assumptions!B8)</f>
        <v>101502935.12815769</v>
      </c>
      <c r="F9" s="18">
        <f>F8*(1-Assumptions!B8)</f>
        <v>96753383.90176874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-1828424.032254517</v>
      </c>
      <c r="C11" s="18">
        <f>-C6*Assumptions!B10</f>
        <v>-1742867.9486418727</v>
      </c>
      <c r="D11" s="18">
        <f>-D6*Assumptions!B10</f>
        <v>-1661315.2271126441</v>
      </c>
      <c r="E11" s="18">
        <f>-E6*Assumptions!B10</f>
        <v>-1583578.5413272632</v>
      </c>
      <c r="F11" s="18">
        <f>-F6*Assumptions!B10</f>
        <v>-1509479.3303680161</v>
      </c>
    </row>
    <row r="12" spans="1:6" x14ac:dyDescent="0.25">
      <c r="A12" t="s">
        <v>48</v>
      </c>
      <c r="B12" s="18">
        <f>-(B6-Assumptions!B29)*Assumptions!B11</f>
        <v>-22999.13208885742</v>
      </c>
      <c r="C12" s="18">
        <f>-(C6-B6)*Assumptions!B11</f>
        <v>-21922.95083478241</v>
      </c>
      <c r="D12" s="18">
        <f>-(D6-C6)*Assumptions!B11</f>
        <v>-20897.12652840213</v>
      </c>
      <c r="E12" s="18">
        <f>-(E6-D6)*Assumptions!B11</f>
        <v>-19919.302854577683</v>
      </c>
      <c r="F12" s="18">
        <f>-(F6-E6)*Assumptions!B11</f>
        <v>-18987.23375546916</v>
      </c>
    </row>
    <row r="13" spans="1:6" x14ac:dyDescent="0.25">
      <c r="A13" s="19" t="s">
        <v>49</v>
      </c>
      <c r="B13" s="20">
        <f>B9+B10+B11+B12</f>
        <v>115345419.9913764</v>
      </c>
      <c r="C13" s="20">
        <f>C9+C10+C11+C12</f>
        <v>109948147.68307626</v>
      </c>
      <c r="D13" s="20">
        <f>D9+D10+D11+D12</f>
        <v>104803425.91707005</v>
      </c>
      <c r="E13" s="20">
        <f>E9+E10+E11+E12</f>
        <v>99899437.28397584</v>
      </c>
      <c r="F13" s="20">
        <f>F9+F10+F11+F12</f>
        <v>95224917.33764526</v>
      </c>
    </row>
    <row r="14" spans="1:6" x14ac:dyDescent="0.25">
      <c r="A14" t="s">
        <v>50</v>
      </c>
      <c r="B14" s="21">
        <f>1/(1+Assumptions!$B$26)^(1-0.5*Assumptions!$B$32)</f>
        <v>0.9590535919353371</v>
      </c>
      <c r="C14" s="21">
        <f>1/(1+Assumptions!$B$26)^(2-0.5*Assumptions!$B$32)</f>
        <v>0.8821219497172207</v>
      </c>
      <c r="D14" s="21">
        <f>1/(1+Assumptions!$B$26)^(3-0.5*Assumptions!$B$32)</f>
        <v>0.8113614720973549</v>
      </c>
      <c r="E14" s="21">
        <f>1/(1+Assumptions!$B$26)^(4-0.5*Assumptions!$B$32)</f>
        <v>0.7462771316539832</v>
      </c>
      <c r="F14" s="21">
        <f>1/(1+Assumptions!$B$26)^(5-0.5*Assumptions!$B$32)</f>
        <v>0.686413610187878</v>
      </c>
    </row>
    <row r="15" spans="1:6" x14ac:dyDescent="0.25">
      <c r="A15" s="19" t="s">
        <v>51</v>
      </c>
      <c r="B15" s="20">
        <f>B13*B14</f>
        <v>110622439.35601957</v>
      </c>
      <c r="C15" s="20">
        <f>C13*C14</f>
        <v>96987674.40199216</v>
      </c>
      <c r="D15" s="20">
        <f>D13*D14</f>
        <v>85033461.93292002</v>
      </c>
      <c r="E15" s="20">
        <f>E13*E14</f>
        <v>74552665.51013248</v>
      </c>
      <c r="F15" s="20">
        <f>F13*F14</f>
        <v>65363679.289575346</v>
      </c>
    </row>
    <row r="17" spans="1:2" x14ac:dyDescent="0.25">
      <c r="A17" s="22" t="s">
        <v>52</v>
      </c>
      <c r="B17" s="23">
        <f>SUM(B15:F15)</f>
        <v>432559920.49063957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95224917.33764526</v>
      </c>
    </row>
    <row r="5" spans="1:2" x14ac:dyDescent="0.25">
      <c r="A5" t="s">
        <v>56</v>
      </c>
      <c r="B5" s="18">
        <f>IF(Assumptions!$B$33=0,B4,B4-Forecast!F11-Forecast!F10-Forecast!F12)</f>
        <v>96753383.90176874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0.28665771465537926</v>
      </c>
    </row>
    <row r="7" spans="1:2" x14ac:dyDescent="0.25">
      <c r="A7" t="s">
        <v>58</v>
      </c>
      <c r="B7" s="18">
        <f>-MAX(Forecast!F9,0)*B6</f>
        <v>-27735103.91445559</v>
      </c>
    </row>
    <row r="8" spans="1:2" x14ac:dyDescent="0.25">
      <c r="A8" t="s">
        <v>59</v>
      </c>
      <c r="B8" s="18">
        <f>IF(OR(Assumptions!$B$33=0,Assumptions!B12&lt;=0),B5,MAX(B5+B7,0))</f>
        <v>69018279.98731315</v>
      </c>
    </row>
    <row r="9" spans="1:2" x14ac:dyDescent="0.25">
      <c r="A9" t="s">
        <v>60</v>
      </c>
      <c r="B9" s="18">
        <f>B8*(1+Assumptions!B12)/(Assumptions!B26-Assumptions!B12)</f>
        <v>1137139260.4926789</v>
      </c>
    </row>
    <row r="10" spans="1:2" x14ac:dyDescent="0.25">
      <c r="A10" t="s">
        <v>61</v>
      </c>
      <c r="B10" s="18">
        <f>B9/(1+Assumptions!B26)^(5-0.5*Assumptions!B32)</f>
        <v>780547865.0811536</v>
      </c>
    </row>
    <row r="11" spans="1:2" x14ac:dyDescent="0.25">
      <c r="A11" t="s">
        <v>62</v>
      </c>
      <c r="B11" s="18">
        <f>Forecast!B17+B10</f>
        <v>1213107785.571793</v>
      </c>
    </row>
    <row r="12" spans="1:2" x14ac:dyDescent="0.25">
      <c r="A12" t="s">
        <v>63</v>
      </c>
      <c r="B12" s="18">
        <f>-Assumptions!B30</f>
        <v>-1493280000</v>
      </c>
    </row>
    <row r="13" spans="1:2" x14ac:dyDescent="0.25">
      <c r="A13" t="s">
        <v>64</v>
      </c>
      <c r="B13" s="18">
        <f>B11+B12</f>
        <v>-280172214.4282069</v>
      </c>
    </row>
    <row r="14" spans="1:2" x14ac:dyDescent="0.25">
      <c r="A14" s="19" t="s">
        <v>65</v>
      </c>
      <c r="B14" s="24">
        <f>B13/Assumptions!B31</f>
        <v>-0.39276497011663125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96753383.90176874</v>
      </c>
    </row>
    <row r="18" spans="1:2" x14ac:dyDescent="0.25">
      <c r="A18" t="s">
        <v>60</v>
      </c>
      <c r="B18" s="18">
        <f>B17*Assumptions!B13</f>
        <v>1935067678.0353749</v>
      </c>
    </row>
    <row r="19" spans="1:2" x14ac:dyDescent="0.25">
      <c r="A19" t="s">
        <v>61</v>
      </c>
      <c r="B19" s="18">
        <f>B18/(1+Assumptions!B26)^(5-0.5*Assumptions!B32)</f>
        <v>1328256790.8381362</v>
      </c>
    </row>
    <row r="20" spans="1:2" x14ac:dyDescent="0.25">
      <c r="A20" t="s">
        <v>62</v>
      </c>
      <c r="B20" s="18">
        <f>Forecast!B17+B19</f>
        <v>1760816711.328776</v>
      </c>
    </row>
    <row r="21" spans="1:2" x14ac:dyDescent="0.25">
      <c r="A21" t="s">
        <v>63</v>
      </c>
      <c r="B21" s="18">
        <f>-Assumptions!B30</f>
        <v>-1493280000</v>
      </c>
    </row>
    <row r="22" spans="1:2" x14ac:dyDescent="0.25">
      <c r="A22" t="s">
        <v>64</v>
      </c>
      <c r="B22" s="18">
        <f>B20+B21</f>
        <v>267536711.32877588</v>
      </c>
    </row>
    <row r="23" spans="1:2" x14ac:dyDescent="0.25">
      <c r="A23" s="19" t="s">
        <v>65</v>
      </c>
      <c r="B23" s="25">
        <f>B22/Assumptions!B31</f>
        <v>0.37505163973736794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3.38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-0.39276497011663125</v>
      </c>
    </row>
    <row r="29" spans="1:2" x14ac:dyDescent="0.25">
      <c r="A29" s="19" t="s">
        <v>73</v>
      </c>
      <c r="B29" s="12">
        <f>B28/B26-1</f>
        <v>-1.1162026538806602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0.067212</v>
      </c>
      <c r="B5" s="31">
        <v>0.06745877940517589</v>
      </c>
      <c r="C5" s="31">
        <v>0.0749883270113642</v>
      </c>
      <c r="D5" s="31">
        <v>0.08251787461755249</v>
      </c>
      <c r="E5" s="31">
        <v>0.09004742222374079</v>
      </c>
      <c r="F5" s="31">
        <v>0.09757696982992908</v>
      </c>
    </row>
    <row r="6" spans="1:6" x14ac:dyDescent="0.25">
      <c r="A6" s="30">
        <v>0.077212</v>
      </c>
      <c r="B6" s="31">
        <v>-0.19841347407024196</v>
      </c>
      <c r="C6" s="31">
        <v>-0.19212849656741382</v>
      </c>
      <c r="D6" s="31">
        <v>-0.18584351906458568</v>
      </c>
      <c r="E6" s="31">
        <v>-0.17955854156175718</v>
      </c>
      <c r="F6" s="31">
        <v>-0.17327356405892905</v>
      </c>
    </row>
    <row r="7" spans="1:6" x14ac:dyDescent="0.25">
      <c r="A7" s="30">
        <v>0.087212</v>
      </c>
      <c r="B7" s="31">
        <v>-0.4034398824352753</v>
      </c>
      <c r="C7" s="31">
        <v>-0.39810219009094977</v>
      </c>
      <c r="D7" s="32">
        <v>-0.3927644977466249</v>
      </c>
      <c r="E7" s="31">
        <v>-0.3874268054022997</v>
      </c>
      <c r="F7" s="31">
        <v>-0.3820891130579748</v>
      </c>
    </row>
    <row r="8" spans="1:6" x14ac:dyDescent="0.25">
      <c r="A8" s="30">
        <v>0.097212</v>
      </c>
      <c r="B8" s="31">
        <v>-0.5663949290517413</v>
      </c>
      <c r="C8" s="31">
        <v>-0.5617996011699853</v>
      </c>
      <c r="D8" s="31">
        <v>-0.557204273288229</v>
      </c>
      <c r="E8" s="31">
        <v>-0.5526089454064725</v>
      </c>
      <c r="F8" s="31">
        <v>-0.5480136175247169</v>
      </c>
    </row>
    <row r="9" spans="1:6" x14ac:dyDescent="0.25">
      <c r="A9" s="30">
        <v>0.107212</v>
      </c>
      <c r="B9" s="31">
        <v>-0.6990485494410793</v>
      </c>
      <c r="C9" s="31">
        <v>-0.6950485316221695</v>
      </c>
      <c r="D9" s="31">
        <v>-0.6910485138032607</v>
      </c>
      <c r="E9" s="31">
        <v>-0.6870484959843509</v>
      </c>
      <c r="F9" s="31">
        <v>-0.6830484781654415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191818000</v>
      </c>
      <c r="C5" s="18">
        <v>181624000</v>
      </c>
      <c r="D5" s="18">
        <v>217918000</v>
      </c>
      <c r="E5" s="18">
        <v>221476000</v>
      </c>
      <c r="F5" s="8" t="s">
        <v>84</v>
      </c>
    </row>
    <row r="6" spans="1:6" x14ac:dyDescent="0.25">
      <c r="A6" t="s">
        <v>44</v>
      </c>
      <c r="B6" s="18">
        <v>119703000</v>
      </c>
      <c r="C6" s="18">
        <v>119983000</v>
      </c>
      <c r="D6" s="18">
        <v>129596000</v>
      </c>
      <c r="E6" s="18">
        <v>151607000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87</v>
      </c>
    </row>
    <row r="9" spans="1:6" x14ac:dyDescent="0.25">
      <c r="A9" t="s">
        <v>89</v>
      </c>
      <c r="B9" s="18">
        <v>-712000</v>
      </c>
      <c r="C9" s="18">
        <v>93000</v>
      </c>
      <c r="D9" s="18">
        <v>-2652000</v>
      </c>
      <c r="E9" s="18">
        <v>0</v>
      </c>
      <c r="F9" s="8" t="s">
        <v>87</v>
      </c>
    </row>
    <row r="10" spans="1:6" x14ac:dyDescent="0.25">
      <c r="A10" t="s">
        <v>90</v>
      </c>
      <c r="B10" s="18">
        <v>1511602000</v>
      </c>
      <c r="C10" s="18">
        <v>1528385000</v>
      </c>
      <c r="D10" s="18">
        <v>1704835000</v>
      </c>
      <c r="E10" s="18">
        <v>1940891000</v>
      </c>
      <c r="F10" s="8" t="s">
        <v>91</v>
      </c>
    </row>
    <row r="11" spans="1:6" x14ac:dyDescent="0.25">
      <c r="A11" t="s">
        <v>92</v>
      </c>
      <c r="B11" s="18">
        <v>18322000</v>
      </c>
      <c r="C11" s="18">
        <v>55369000</v>
      </c>
      <c r="D11" s="18">
        <v>22681000</v>
      </c>
      <c r="E11" s="18">
        <v>19682000</v>
      </c>
      <c r="F11" s="8" t="s">
        <v>93</v>
      </c>
    </row>
    <row r="12" spans="1:6" x14ac:dyDescent="0.25">
      <c r="A12" t="s">
        <v>32</v>
      </c>
      <c r="B12" s="34">
        <v>713333000</v>
      </c>
      <c r="C12" s="34">
        <v>714289000</v>
      </c>
      <c r="D12" s="34">
        <v>722955000</v>
      </c>
      <c r="E12" s="34">
        <v>722955000</v>
      </c>
      <c r="F12" s="8" t="s">
        <v>94</v>
      </c>
    </row>
    <row r="15" spans="1:1" x14ac:dyDescent="0.25">
      <c r="A15" s="19" t="s">
        <v>95</v>
      </c>
    </row>
    <row r="16" ht="22" customHeight="1" spans="1:6" x14ac:dyDescent="0.25">
      <c r="A16" s="35" t="s">
        <v>96</v>
      </c>
      <c r="B16" s="35"/>
      <c r="C16" s="35"/>
      <c r="D16" s="35"/>
      <c r="E16" s="35"/>
      <c r="F16" s="35"/>
    </row>
    <row r="17" ht="86" customHeight="1" spans="1:6" x14ac:dyDescent="0.25">
      <c r="A17" s="35" t="s">
        <v>97</v>
      </c>
      <c r="B17" s="35"/>
      <c r="C17" s="35"/>
      <c r="D17" s="35"/>
      <c r="E17" s="35"/>
      <c r="F17" s="35"/>
    </row>
    <row r="18" ht="54" customHeight="1" spans="1:6" x14ac:dyDescent="0.25">
      <c r="A18" s="35" t="s">
        <v>98</v>
      </c>
      <c r="B18" s="35"/>
      <c r="C18" s="35"/>
      <c r="D18" s="35"/>
      <c r="E18" s="35"/>
      <c r="F18" s="35"/>
    </row>
    <row r="19" ht="38" customHeight="1" spans="1:6" x14ac:dyDescent="0.25">
      <c r="A19" s="35" t="s">
        <v>99</v>
      </c>
      <c r="B19" s="35"/>
      <c r="C19" s="35"/>
      <c r="D19" s="35"/>
      <c r="E19" s="35"/>
      <c r="F19" s="35"/>
    </row>
    <row r="21" spans="1:1" x14ac:dyDescent="0.25">
      <c r="A21" s="36" t="s">
        <v>100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