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<sst xmlns="http://schemas.openxmlformats.org/spreadsheetml/2006/main" count="111" uniqueCount="99">
  <si>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The Clorox Company (CLX)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</si>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</sst>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-0.031139607337307473</v>
      </c>
    </row>
    <row r="7" spans="1:2" x14ac:dyDescent="0.25">
      <c r="A7" t="s">
        <v>5</v>
      </c>
      <c r="B7" s="6">
        <v>0.12770995246917075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0.03316357014612502</v>
      </c>
    </row>
    <row r="10" spans="1:2" x14ac:dyDescent="0.25">
      <c r="A10" t="s">
        <v>8</v>
      </c>
      <c r="B10" s="6">
        <v>0.03062933533240559</v>
      </c>
    </row>
    <row r="11" spans="1:2" x14ac:dyDescent="0.25">
      <c r="A11" t="s">
        <v>9</v>
      </c>
      <c r="B11" s="6">
        <v>0.3072916666666667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13.615504889673433</v>
      </c>
    </row>
    <row r="14" spans="1:3" x14ac:dyDescent="0.25">
      <c r="A14" t="s">
        <v>12</v>
      </c>
      <c r="B14" s="6">
        <v>0.2198651121975031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0.69448</v>
      </c>
      <c r="C19" s="8" t="s">
        <v>19</v>
      </c>
    </row>
    <row r="20" spans="1:2" x14ac:dyDescent="0.25">
      <c r="A20" t="s">
        <v>20</v>
      </c>
      <c r="B20" s="10">
        <f>B17+B19*B18</f>
        <v>0.0881764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10049367040</v>
      </c>
    </row>
    <row r="23" spans="1:2" x14ac:dyDescent="0.25">
      <c r="A23" t="s">
        <v>24</v>
      </c>
      <c r="B23" s="11">
        <v>5520000000</v>
      </c>
    </row>
    <row r="24" spans="1:2" x14ac:dyDescent="0.25">
      <c r="A24" t="s">
        <v>25</v>
      </c>
      <c r="B24" s="10">
        <f>B22/(B22+B23)</f>
        <v>0.6454576486109996</v>
      </c>
    </row>
    <row r="25" spans="1:2" x14ac:dyDescent="0.25">
      <c r="A25" t="s">
        <v>26</v>
      </c>
      <c r="B25" s="10">
        <f>1-B24</f>
        <v>0.35454235138900037</v>
      </c>
    </row>
    <row r="26" spans="1:2" x14ac:dyDescent="0.25">
      <c r="A26" t="s">
        <v>27</v>
      </c>
      <c r="B26" s="12">
        <f>B24*B20+B25*B21*(1-B8)</f>
        <v>0.07091295291769652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6720000000</v>
      </c>
      <c r="C29" s="8" t="s">
        <v>30</v>
      </c>
    </row>
    <row r="30" spans="1:2" x14ac:dyDescent="0.25">
      <c r="A30" t="s">
        <v>31</v>
      </c>
      <c r="B30" s="11">
        <v>5377000000</v>
      </c>
    </row>
    <row r="31" spans="1:2" x14ac:dyDescent="0.25">
      <c r="A31" t="s">
        <v>32</v>
      </c>
      <c r="B31" s="13">
        <v>122132000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-0.031139607337307473</v>
      </c>
      <c r="C5" s="10">
        <f>Assumptions!B6</f>
        <v>-0.031139607337307473</v>
      </c>
      <c r="D5" s="10">
        <f>Assumptions!B6</f>
        <v>-0.031139607337307473</v>
      </c>
      <c r="E5" s="10">
        <f>Assumptions!B6</f>
        <v>-0.031139607337307473</v>
      </c>
      <c r="F5" s="10">
        <f>Assumptions!B6</f>
        <v>-0.031139607337307473</v>
      </c>
    </row>
    <row r="6" spans="1:6" x14ac:dyDescent="0.25">
      <c r="A6" t="s">
        <v>43</v>
      </c>
      <c r="B6" s="18">
        <f>Assumptions!B29*(1+B5)</f>
        <v>6510741838.693294</v>
      </c>
      <c r="C6" s="18">
        <f>B6*(1+C5)</f>
        <v>6307999894.361805</v>
      </c>
      <c r="D6" s="18">
        <f>C6*(1+D5)</f>
        <v>6111571254.567601</v>
      </c>
      <c r="E6" s="18">
        <f>D6*(1+E5)</f>
        <v>5921259325.48639</v>
      </c>
      <c r="F6" s="18">
        <f>E6*(1+F5)</f>
        <v>5736873635.148374</v>
      </c>
    </row>
    <row r="7" spans="1:6" x14ac:dyDescent="0.25">
      <c r="A7" t="s">
        <v>5</v>
      </c>
      <c r="B7" s="10">
        <f>Assumptions!B7</f>
        <v>0.12770995246917075</v>
      </c>
      <c r="C7" s="10">
        <f>Assumptions!B7</f>
        <v>0.12770995246917075</v>
      </c>
      <c r="D7" s="10">
        <f>Assumptions!B7</f>
        <v>0.12770995246917075</v>
      </c>
      <c r="E7" s="10">
        <f>Assumptions!B7</f>
        <v>0.12770995246917075</v>
      </c>
      <c r="F7" s="10">
        <f>Assumptions!B7</f>
        <v>0.12770995246917075</v>
      </c>
    </row>
    <row r="8" spans="1:6" x14ac:dyDescent="0.25">
      <c r="A8" t="s">
        <v>44</v>
      </c>
      <c r="B8" s="18">
        <f>B6*B7</f>
        <v>831486530.7585618</v>
      </c>
      <c r="C8" s="18">
        <f>C6*C7</f>
        <v>805594366.6844802</v>
      </c>
      <c r="D8" s="18">
        <f>D6*D7</f>
        <v>780508474.4327786</v>
      </c>
      <c r="E8" s="18">
        <f>E6*E7</f>
        <v>756203747.0155009</v>
      </c>
      <c r="F8" s="18">
        <f>F6*F7</f>
        <v>732655859.2664375</v>
      </c>
    </row>
    <row r="9" spans="1:6" x14ac:dyDescent="0.25">
      <c r="A9" t="s">
        <v>45</v>
      </c>
      <c r="B9" s="18">
        <f>B8*(1-Assumptions!B8)</f>
        <v>656874359.2992638</v>
      </c>
      <c r="C9" s="18">
        <f>C8*(1-Assumptions!B8)</f>
        <v>636419549.6807394</v>
      </c>
      <c r="D9" s="18">
        <f>D8*(1-Assumptions!B8)</f>
        <v>616601694.8018951</v>
      </c>
      <c r="E9" s="18">
        <f>E8*(1-Assumptions!B8)</f>
        <v>597400960.1422458</v>
      </c>
      <c r="F9" s="18">
        <f>F8*(1-Assumptions!B8)</f>
        <v>578798128.8204857</v>
      </c>
    </row>
    <row r="10" spans="1:6" x14ac:dyDescent="0.25">
      <c r="A10" t="s">
        <v>46</v>
      </c>
      <c r="B10" s="18">
        <f>B6*Assumptions!B9</f>
        <v>215919443.67081603</v>
      </c>
      <c r="C10" s="18">
        <f>C6*Assumptions!B9</f>
        <v>209195796.97841692</v>
      </c>
      <c r="D10" s="18">
        <f>D6*Assumptions!B9</f>
        <v>202681522.0038939</v>
      </c>
      <c r="E10" s="18">
        <f>E6*Assumptions!B9</f>
        <v>196370098.9941648</v>
      </c>
      <c r="F10" s="18">
        <f>F6*Assumptions!B9</f>
        <v>190255211.21869832</v>
      </c>
    </row>
    <row r="11" spans="1:6" x14ac:dyDescent="0.25">
      <c r="A11" t="s">
        <v>47</v>
      </c>
      <c r="B11" s="18">
        <f>-B6*Assumptions!B10</f>
        <v>-199419695.04005983</v>
      </c>
      <c r="C11" s="18">
        <f>-C6*Assumptions!B10</f>
        <v>-193209844.04118675</v>
      </c>
      <c r="D11" s="18">
        <f>-D6*Assumptions!B10</f>
        <v>-187193365.36404178</v>
      </c>
      <c r="E11" s="18">
        <f>-E6*Assumptions!B10</f>
        <v>-181364237.4704564</v>
      </c>
      <c r="F11" s="18">
        <f>-F6*Assumptions!B10</f>
        <v>-175716626.33059618</v>
      </c>
    </row>
    <row r="12" spans="1:6" x14ac:dyDescent="0.25">
      <c r="A12" t="s">
        <v>48</v>
      </c>
      <c r="B12" s="18">
        <f>-(B6-Assumptions!B29)*Assumptions!B11</f>
        <v>64303289.15154</v>
      </c>
      <c r="C12" s="18">
        <f>-(C6-B6)*Assumptions!B11</f>
        <v>62300909.97686369</v>
      </c>
      <c r="D12" s="18">
        <f>-(D6-C6)*Assumptions!B11</f>
        <v>60360884.1034272</v>
      </c>
      <c r="E12" s="18">
        <f>-(E6-D6)*Assumptions!B11</f>
        <v>58481269.873913825</v>
      </c>
      <c r="F12" s="18">
        <f>-(F6-E6)*Assumptions!B11</f>
        <v>56660186.09345299</v>
      </c>
    </row>
    <row r="13" spans="1:6" x14ac:dyDescent="0.25">
      <c r="A13" s="19" t="s">
        <v>49</v>
      </c>
      <c r="B13" s="20">
        <f>B9+B10+B11+B12</f>
        <v>737677397.0815601</v>
      </c>
      <c r="C13" s="20">
        <f>C9+C10+C11+C12</f>
        <v>714706412.5948333</v>
      </c>
      <c r="D13" s="20">
        <f>D9+D10+D11+D12</f>
        <v>692450735.5451744</v>
      </c>
      <c r="E13" s="20">
        <f>E9+E10+E11+E12</f>
        <v>670888091.5398681</v>
      </c>
      <c r="F13" s="20">
        <f>F9+F10+F11+F12</f>
        <v>649996899.8020408</v>
      </c>
    </row>
    <row r="14" spans="1:6" x14ac:dyDescent="0.25">
      <c r="A14" t="s">
        <v>50</v>
      </c>
      <c r="B14" s="21">
        <f>1/(1+Assumptions!$B$26)^(1-0.5*Assumptions!$B$32)</f>
        <v>0.9663243299262119</v>
      </c>
      <c r="C14" s="21">
        <f>1/(1+Assumptions!$B$26)^(2-0.5*Assumptions!$B$32)</f>
        <v>0.9023369521243221</v>
      </c>
      <c r="D14" s="21">
        <f>1/(1+Assumptions!$B$26)^(3-0.5*Assumptions!$B$32)</f>
        <v>0.842586645035817</v>
      </c>
      <c r="E14" s="21">
        <f>1/(1+Assumptions!$B$26)^(4-0.5*Assumptions!$B$32)</f>
        <v>0.7867928413230919</v>
      </c>
      <c r="F14" s="21">
        <f>1/(1+Assumptions!$B$26)^(5-0.5*Assumptions!$B$32)</f>
        <v>0.7346935520571295</v>
      </c>
    </row>
    <row r="15" spans="1:6" x14ac:dyDescent="0.25">
      <c r="A15" s="19" t="s">
        <v>51</v>
      </c>
      <c r="B15" s="20">
        <f>B13*B14</f>
        <v>712835616.4365507</v>
      </c>
      <c r="C15" s="20">
        <f>C13*C14</f>
        <v>644906006.0045301</v>
      </c>
      <c r="D15" s="20">
        <f>D13*D14</f>
        <v>583449742.1155922</v>
      </c>
      <c r="E15" s="20">
        <f>E13*E14</f>
        <v>527849947.75247943</v>
      </c>
      <c r="F15" s="20">
        <f>F13*F14</f>
        <v>477548531.14168346</v>
      </c>
    </row>
    <row r="17" spans="1:2" x14ac:dyDescent="0.25">
      <c r="A17" s="22" t="s">
        <v>52</v>
      </c>
      <c r="B17" s="23">
        <f>SUM(B15:F15)</f>
        <v>2946589843.450836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649996899.8020408</v>
      </c>
    </row>
    <row r="5" spans="1:2" x14ac:dyDescent="0.25">
      <c r="A5" t="s">
        <v>56</v>
      </c>
      <c r="B5" s="18">
        <f>IF(Assumptions!$B$33=0,B4,B4-Forecast!F11-Forecast!F10-Forecast!F12)</f>
        <v>596101093.7445093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0.11370607983290545</v>
      </c>
    </row>
    <row r="7" spans="1:2" x14ac:dyDescent="0.25">
      <c r="A7" t="s">
        <v>58</v>
      </c>
      <c r="B7" s="18">
        <f>-MAX(Forecast!F9,0)*B6</f>
        <v>-67780318.55379544</v>
      </c>
    </row>
    <row r="8" spans="1:2" x14ac:dyDescent="0.25">
      <c r="A8" t="s">
        <v>59</v>
      </c>
      <c r="B8" s="18">
        <f>IF(OR(Assumptions!$B$33=0,Assumptions!B12&lt;=0),B5,MAX(B5+B7,0))</f>
        <v>528320775.1907139</v>
      </c>
    </row>
    <row r="9" spans="1:2" x14ac:dyDescent="0.25">
      <c r="A9" t="s">
        <v>60</v>
      </c>
      <c r="B9" s="18">
        <f>B8*(1+Assumptions!B12)/(Assumptions!B26-Assumptions!B12)</f>
        <v>11794684509.646444</v>
      </c>
    </row>
    <row r="10" spans="1:2" x14ac:dyDescent="0.25">
      <c r="A10" t="s">
        <v>61</v>
      </c>
      <c r="B10" s="18">
        <f>B9/(1+Assumptions!B26)^(5-0.5*Assumptions!B32)</f>
        <v>8665478657.785349</v>
      </c>
    </row>
    <row r="11" spans="1:2" x14ac:dyDescent="0.25">
      <c r="A11" t="s">
        <v>62</v>
      </c>
      <c r="B11" s="18">
        <f>Forecast!B17+B10</f>
        <v>11612068501.236185</v>
      </c>
    </row>
    <row r="12" spans="1:2" x14ac:dyDescent="0.25">
      <c r="A12" t="s">
        <v>63</v>
      </c>
      <c r="B12" s="18">
        <f>-Assumptions!B30</f>
        <v>-5377000000</v>
      </c>
    </row>
    <row r="13" spans="1:2" x14ac:dyDescent="0.25">
      <c r="A13" t="s">
        <v>64</v>
      </c>
      <c r="B13" s="18">
        <f>B11+B12</f>
        <v>6235068501.236185</v>
      </c>
    </row>
    <row r="14" spans="1:2" x14ac:dyDescent="0.25">
      <c r="A14" s="19" t="s">
        <v>65</v>
      </c>
      <c r="B14" s="24">
        <f>B13/Assumptions!B31</f>
        <v>51.05188239966745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922911070.4851358</v>
      </c>
    </row>
    <row r="18" spans="1:2" x14ac:dyDescent="0.25">
      <c r="A18" t="s">
        <v>60</v>
      </c>
      <c r="B18" s="18">
        <f>B17*Assumptions!B13</f>
        <v>12565900192.924109</v>
      </c>
    </row>
    <row r="19" spans="1:2" x14ac:dyDescent="0.25">
      <c r="A19" t="s">
        <v>61</v>
      </c>
      <c r="B19" s="18">
        <f>B18/(1+Assumptions!B26)^(5-0.5*Assumptions!B32)</f>
        <v>9232085847.534782</v>
      </c>
    </row>
    <row r="20" spans="1:2" x14ac:dyDescent="0.25">
      <c r="A20" t="s">
        <v>62</v>
      </c>
      <c r="B20" s="18">
        <f>Forecast!B17+B19</f>
        <v>12178675690.985619</v>
      </c>
    </row>
    <row r="21" spans="1:2" x14ac:dyDescent="0.25">
      <c r="A21" t="s">
        <v>63</v>
      </c>
      <c r="B21" s="18">
        <f>-Assumptions!B30</f>
        <v>-5377000000</v>
      </c>
    </row>
    <row r="22" spans="1:2" x14ac:dyDescent="0.25">
      <c r="A22" t="s">
        <v>64</v>
      </c>
      <c r="B22" s="18">
        <f>B20+B21</f>
        <v>6801675690.985619</v>
      </c>
    </row>
    <row r="23" spans="1:2" x14ac:dyDescent="0.25">
      <c r="A23" s="19" t="s">
        <v>65</v>
      </c>
      <c r="B23" s="25">
        <f>B22/Assumptions!B31</f>
        <v>55.69118405483918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83.1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51.05188239966745</v>
      </c>
    </row>
    <row r="29" spans="1:2" x14ac:dyDescent="0.25">
      <c r="A29" s="19" t="s">
        <v>73</v>
      </c>
      <c r="B29" s="12">
        <f>B28/B26-1</f>
        <v>-0.3856572515082136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0.050913</v>
      </c>
      <c r="B5" s="31">
        <v>83.97198462715014</v>
      </c>
      <c r="C5" s="31">
        <v>98.25757752826094</v>
      </c>
      <c r="D5" s="31">
        <v>118.02182032003375</v>
      </c>
      <c r="E5" s="31">
        <v>147.19431412903728</v>
      </c>
      <c r="F5" s="31">
        <v>194.64351652194412</v>
      </c>
    </row>
    <row r="6" spans="1:6" x14ac:dyDescent="0.25">
      <c r="A6" s="30">
        <v>0.060913</v>
      </c>
      <c r="B6" s="31">
        <v>57.6788197776696</v>
      </c>
      <c r="C6" s="31">
        <v>65.40038160835545</v>
      </c>
      <c r="D6" s="31">
        <v>75.24833164269361</v>
      </c>
      <c r="E6" s="31">
        <v>88.25446307625839</v>
      </c>
      <c r="F6" s="31">
        <v>106.24692089374459</v>
      </c>
    </row>
    <row r="7" spans="1:6" x14ac:dyDescent="0.25">
      <c r="A7" s="30">
        <v>0.070913</v>
      </c>
      <c r="B7" s="31">
        <v>40.754423860940605</v>
      </c>
      <c r="C7" s="31">
        <v>45.40548146002346</v>
      </c>
      <c r="D7" s="32">
        <v>51.051793163571816</v>
      </c>
      <c r="E7" s="31">
        <v>58.05825060913337</v>
      </c>
      <c r="F7" s="31">
        <v>66.99295409827563</v>
      </c>
    </row>
    <row r="8" spans="1:6" x14ac:dyDescent="0.25">
      <c r="A8" s="30">
        <v>0.080913</v>
      </c>
      <c r="B8" s="31">
        <v>28.936239995105897</v>
      </c>
      <c r="C8" s="31">
        <v>31.94008528564713</v>
      </c>
      <c r="D8" s="31">
        <v>35.467178883202976</v>
      </c>
      <c r="E8" s="31">
        <v>39.67168032669717</v>
      </c>
      <c r="F8" s="31">
        <v>44.77490204810045</v>
      </c>
    </row>
    <row r="9" spans="1:6" x14ac:dyDescent="0.25">
      <c r="A9" s="30">
        <v>0.090913</v>
      </c>
      <c r="B9" s="31">
        <v>20.207645292273966</v>
      </c>
      <c r="C9" s="31">
        <v>22.243440950165652</v>
      </c>
      <c r="D9" s="31">
        <v>24.576714085659987</v>
      </c>
      <c r="E9" s="31">
        <v>27.280719376150078</v>
      </c>
      <c r="F9" s="31">
        <v>30.45491459218895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6720000000</v>
      </c>
      <c r="C5" s="18">
        <v>7104000000</v>
      </c>
      <c r="D5" s="18">
        <v>7093000000</v>
      </c>
      <c r="E5" s="18">
        <v>7389000000</v>
      </c>
      <c r="F5" s="8" t="s">
        <v>84</v>
      </c>
    </row>
    <row r="6" spans="1:6" x14ac:dyDescent="0.25">
      <c r="A6" t="s">
        <v>44</v>
      </c>
      <c r="B6" s="18">
        <v>886000000</v>
      </c>
      <c r="C6" s="18">
        <v>1177000000</v>
      </c>
      <c r="D6" s="18">
        <v>723000000</v>
      </c>
      <c r="E6" s="18">
        <v>823000000</v>
      </c>
      <c r="F6" s="8" t="s">
        <v>85</v>
      </c>
    </row>
    <row r="7" spans="1:6" x14ac:dyDescent="0.25">
      <c r="A7" t="s">
        <v>86</v>
      </c>
      <c r="B7" s="18">
        <v>247000000</v>
      </c>
      <c r="C7" s="18">
        <v>219000000</v>
      </c>
      <c r="D7" s="18">
        <v>235000000</v>
      </c>
      <c r="E7" s="18">
        <v>236000000</v>
      </c>
      <c r="F7" s="8" t="s">
        <v>87</v>
      </c>
    </row>
    <row r="8" spans="1:6" x14ac:dyDescent="0.25">
      <c r="A8" t="s">
        <v>88</v>
      </c>
      <c r="B8" s="18">
        <v>207000000</v>
      </c>
      <c r="C8" s="18">
        <v>220000000</v>
      </c>
      <c r="D8" s="18">
        <v>212000000</v>
      </c>
      <c r="E8" s="18">
        <v>228000000</v>
      </c>
      <c r="F8" s="8" t="s">
        <v>89</v>
      </c>
    </row>
    <row r="9" spans="1:6" x14ac:dyDescent="0.25">
      <c r="A9" t="s">
        <v>90</v>
      </c>
      <c r="B9" s="18">
        <v>-118000000</v>
      </c>
      <c r="C9" s="18">
        <v>211000000</v>
      </c>
      <c r="D9" s="18">
        <v>241000000</v>
      </c>
      <c r="E9" s="18">
        <v>-354000000</v>
      </c>
      <c r="F9" s="8" t="s">
        <v>91</v>
      </c>
    </row>
    <row r="10" spans="1:6" x14ac:dyDescent="0.25">
      <c r="A10" t="s">
        <v>92</v>
      </c>
      <c r="B10" s="18">
        <v>5520000000</v>
      </c>
      <c r="C10" s="18">
        <v>2880000000</v>
      </c>
      <c r="D10" s="18">
        <v>2903000000</v>
      </c>
      <c r="E10" s="18">
        <v>2924000000</v>
      </c>
      <c r="F10" s="8" t="s">
        <v>93</v>
      </c>
    </row>
    <row r="11" spans="1:6" x14ac:dyDescent="0.25">
      <c r="A11" t="s">
        <v>94</v>
      </c>
      <c r="B11" s="18">
        <v>143000000</v>
      </c>
      <c r="C11" s="18">
        <v>167000000</v>
      </c>
      <c r="D11" s="18">
        <v>202000000</v>
      </c>
      <c r="E11" s="18">
        <v>367000000</v>
      </c>
      <c r="F11" s="8" t="s">
        <v>95</v>
      </c>
    </row>
    <row r="12" spans="1:6" x14ac:dyDescent="0.25">
      <c r="A12" t="s">
        <v>32</v>
      </c>
      <c r="B12" s="34">
        <v>122132000</v>
      </c>
      <c r="C12" s="34">
        <v>122694263</v>
      </c>
      <c r="D12" s="34">
        <v>124804000</v>
      </c>
      <c r="E12" s="34">
        <v>124181000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