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<sst xmlns="http://schemas.openxmlformats.org/spreadsheetml/2006/main" count="119" uniqueCount="106">
  <si>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Clorox Company (CLX)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</si>
  <si>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</si>
  <si>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</si>
  <si>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</si>
  <si>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</si>
  <si>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</si>
  <si>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</si>
  <si>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</si>
  <si>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</si>
  <si>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</si>
  <si>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</si>
  <si>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</si>
  <si>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</si>
  <si>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</si>
  <si>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</si>
  <si>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</si>
  <si>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</si>
  <si>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</si>
  <si>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</si>
  <si>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</si>
  <si>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</si>
  <si>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</si>
  <si>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</si>
  <si>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</si>
  <si>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6.8x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</si>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</sst>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0.1353494255952381</v>
      </c>
    </row>
    <row r="7" spans="1:2" x14ac:dyDescent="0.25">
      <c r="A7" t="s">
        <v>4</v>
      </c>
      <c r="B7" s="5">
        <v>0.12770995246917075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0.03316357014612502</v>
      </c>
    </row>
    <row r="10" spans="1:3" x14ac:dyDescent="0.25">
      <c r="A10" t="s">
        <v>7</v>
      </c>
      <c r="B10" s="5">
        <v>0.03062933533240559</v>
      </c>
      <c r="C10" s="6" t="s">
        <v>8</v>
      </c>
    </row>
    <row r="11" spans="1:2" x14ac:dyDescent="0.25">
      <c r="A11" t="s">
        <v>9</v>
      </c>
      <c r="B11" s="5">
        <v>0.05905115301050137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14.139064430714916</v>
      </c>
    </row>
    <row r="14" spans="1:3" x14ac:dyDescent="0.25">
      <c r="A14" t="s">
        <v>12</v>
      </c>
      <c r="B14" s="5">
        <v>0.2198651121975031</v>
      </c>
      <c r="C14" s="6" t="s">
        <v>13</v>
      </c>
    </row>
    <row r="15" spans="1:3" x14ac:dyDescent="0.25">
      <c r="A15" t="s">
        <v>14</v>
      </c>
      <c r="B15" s="5">
        <v>0.029345726379895177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0.71458</v>
      </c>
      <c r="C19" s="6" t="s">
        <v>21</v>
      </c>
    </row>
    <row r="20" spans="1:2" x14ac:dyDescent="0.25">
      <c r="A20" t="s">
        <v>22</v>
      </c>
      <c r="B20" s="9">
        <f>B17+B19*B18</f>
        <v>0.079166734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10642560000</v>
      </c>
    </row>
    <row r="23" spans="1:2" x14ac:dyDescent="0.25">
      <c r="A23" t="s">
        <v>26</v>
      </c>
      <c r="B23" s="10">
        <v>5520000000</v>
      </c>
    </row>
    <row r="24" spans="1:2" x14ac:dyDescent="0.25">
      <c r="A24" t="s">
        <v>27</v>
      </c>
      <c r="B24" s="9">
        <f>B22/(B22+B23)</f>
        <v>0.6584699453551912</v>
      </c>
    </row>
    <row r="25" spans="1:2" x14ac:dyDescent="0.25">
      <c r="A25" t="s">
        <v>28</v>
      </c>
      <c r="B25" s="9">
        <f>1-B24</f>
        <v>0.3415300546448088</v>
      </c>
    </row>
    <row r="26" spans="1:2" x14ac:dyDescent="0.25">
      <c r="A26" t="s">
        <v>29</v>
      </c>
      <c r="B26" s="11">
        <f>B24*B20+B25*B21*(1-B8)</f>
        <v>0.06681730298907104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6720000000</v>
      </c>
      <c r="C29" s="6" t="s">
        <v>32</v>
      </c>
    </row>
    <row r="30" spans="1:2" x14ac:dyDescent="0.25">
      <c r="A30" t="s">
        <v>33</v>
      </c>
      <c r="B30" s="10">
        <v>5377000000</v>
      </c>
    </row>
    <row r="31" spans="1:2" x14ac:dyDescent="0.25">
      <c r="A31" t="s">
        <v>34</v>
      </c>
      <c r="B31" s="12">
        <v>122132000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0.1353494255952381</v>
      </c>
      <c r="C5" s="5">
        <v>0.024657580835449</v>
      </c>
      <c r="D5" s="5">
        <v>0.024700383231017874</v>
      </c>
      <c r="E5" s="5">
        <v>0.02474318562658675</v>
      </c>
      <c r="F5" s="5">
        <v>0.024785988022155626</v>
      </c>
      <c r="G5" s="5">
        <v>0.0248287904177245</v>
      </c>
      <c r="H5" s="5">
        <v>0.024871592813293375</v>
      </c>
      <c r="I5" s="5">
        <v>0.024914395208862253</v>
      </c>
      <c r="J5" s="5">
        <v>0.024957197604431127</v>
      </c>
      <c r="K5" s="5">
        <v>0.025</v>
      </c>
    </row>
    <row r="6" spans="1:11" x14ac:dyDescent="0.25">
      <c r="A6" t="s">
        <v>50</v>
      </c>
      <c r="B6" s="18">
        <f>Assumptions!B29*(1+B5)</f>
        <v>7629548140</v>
      </c>
      <c r="C6" s="18">
        <f>B6*(1+C5)</f>
        <v>7817674340</v>
      </c>
      <c r="D6" s="18">
        <f>C6*(1+D5)</f>
        <v>8010773892.173296</v>
      </c>
      <c r="E6" s="18">
        <f>D6*(1+E5)</f>
        <v>8208985957.599955</v>
      </c>
      <c r="F6" s="18">
        <f>E6*(1+F5)</f>
        <v>8412453785.219071</v>
      </c>
      <c r="G6" s="18">
        <f>F6*(1+G5)</f>
        <v>8621324837.151068</v>
      </c>
      <c r="H6" s="18">
        <f>G6*(1+H5)</f>
        <v>8835750918.011822</v>
      </c>
      <c r="I6" s="18">
        <f>H6*(1+I5)</f>
        <v>9055888308.350235</v>
      </c>
      <c r="J6" s="18">
        <f>I6*(1+J5)</f>
        <v>9281897902.34539</v>
      </c>
      <c r="K6" s="18">
        <f>J6*(1+K5)</f>
        <v>9513945349.904024</v>
      </c>
    </row>
    <row r="7" spans="1:11" x14ac:dyDescent="0.25">
      <c r="A7" t="s">
        <v>4</v>
      </c>
      <c r="B7" s="9">
        <f>Assumptions!B7</f>
        <v>0.12770995246917075</v>
      </c>
      <c r="C7" s="9">
        <f>Assumptions!B7</f>
        <v>0.12770995246917075</v>
      </c>
      <c r="D7" s="9">
        <f>Assumptions!B7</f>
        <v>0.12770995246917075</v>
      </c>
      <c r="E7" s="9">
        <f>Assumptions!B7</f>
        <v>0.12770995246917075</v>
      </c>
      <c r="F7" s="9">
        <f>Assumptions!B7</f>
        <v>0.12770995246917075</v>
      </c>
      <c r="G7" s="9">
        <f>Assumptions!B7</f>
        <v>0.12770995246917075</v>
      </c>
      <c r="H7" s="9">
        <f>Assumptions!B7</f>
        <v>0.12770995246917075</v>
      </c>
      <c r="I7" s="9">
        <f>Assumptions!B7</f>
        <v>0.12770995246917075</v>
      </c>
      <c r="J7" s="9">
        <f>Assumptions!B7</f>
        <v>0.12770995246917075</v>
      </c>
      <c r="K7" s="9">
        <f>Assumptions!B7</f>
        <v>0.12770995246917075</v>
      </c>
    </row>
    <row r="8" spans="1:11" x14ac:dyDescent="0.25">
      <c r="A8" t="s">
        <v>51</v>
      </c>
      <c r="B8" s="18">
        <f>B6*B7</f>
        <v>974369230.3206501</v>
      </c>
      <c r="C8" s="18">
        <f>C6*C7</f>
        <v>998394818.3808558</v>
      </c>
      <c r="D8" s="18">
        <f>D6*D7</f>
        <v>1023055553.0107256</v>
      </c>
      <c r="E8" s="18">
        <f>E6*E7</f>
        <v>1048369206.4651803</v>
      </c>
      <c r="F8" s="18">
        <f>F6*F7</f>
        <v>1074354073.0594232</v>
      </c>
      <c r="G8" s="18">
        <f>G6*G7</f>
        <v>1101028985.173844</v>
      </c>
      <c r="H8" s="18">
        <f>H6*H7</f>
        <v>1128413329.7687216</v>
      </c>
      <c r="I8" s="18">
        <f>I6*I7</f>
        <v>1156527065.4255276</v>
      </c>
      <c r="J8" s="18">
        <f>J6*J7</f>
        <v>1185390739.9322255</v>
      </c>
      <c r="K8" s="18">
        <f>K6*K7</f>
        <v>1215025508.430531</v>
      </c>
    </row>
    <row r="9" spans="1:11" x14ac:dyDescent="0.25">
      <c r="A9" t="s">
        <v>52</v>
      </c>
      <c r="B9" s="18">
        <f>B8*(1-Assumptions!B8)</f>
        <v>769751691.9533136</v>
      </c>
      <c r="C9" s="18">
        <f>C8*(1-Assumptions!B8)</f>
        <v>788731906.5208762</v>
      </c>
      <c r="D9" s="18">
        <f>D8*(1-Assumptions!B8)</f>
        <v>808213886.8784733</v>
      </c>
      <c r="E9" s="18">
        <f>E8*(1-Assumptions!B8)</f>
        <v>828211673.1074924</v>
      </c>
      <c r="F9" s="18">
        <f>F8*(1-Assumptions!B8)</f>
        <v>848739717.7169443</v>
      </c>
      <c r="G9" s="18">
        <f>G8*(1-Assumptions!B8)</f>
        <v>869812898.2873368</v>
      </c>
      <c r="H9" s="18">
        <f>H8*(1-Assumptions!B8)</f>
        <v>891446530.5172901</v>
      </c>
      <c r="I9" s="18">
        <f>I8*(1-Assumptions!B8)</f>
        <v>913656381.6861669</v>
      </c>
      <c r="J9" s="18">
        <f>J8*(1-Assumptions!B8)</f>
        <v>936458684.5464581</v>
      </c>
      <c r="K9" s="18">
        <f>K8*(1-Assumptions!B8)</f>
        <v>959870151.6601195</v>
      </c>
    </row>
    <row r="10" spans="1:11" x14ac:dyDescent="0.25">
      <c r="A10" t="s">
        <v>53</v>
      </c>
      <c r="B10" s="18">
        <f>B6*Assumptions!B9</f>
        <v>253023054.92412767</v>
      </c>
      <c r="C10" s="18">
        <f>C6*Assumptions!B9</f>
        <v>259261991.3541516</v>
      </c>
      <c r="D10" s="18">
        <f>D6*Assumptions!B9</f>
        <v>265665861.89783603</v>
      </c>
      <c r="E10" s="18">
        <f>E6*Assumptions!B9</f>
        <v>272239281.63342136</v>
      </c>
      <c r="F10" s="18">
        <f>F6*Assumptions!B9</f>
        <v>278987001.2071476</v>
      </c>
      <c r="G10" s="18">
        <f>G6*Assumptions!B9</f>
        <v>285913910.9893893</v>
      </c>
      <c r="H10" s="18">
        <f>H6*Assumptions!B9</f>
        <v>293025045.3631736</v>
      </c>
      <c r="I10" s="18">
        <f>I6*Assumptions!B9</f>
        <v>300325587.1494464</v>
      </c>
      <c r="J10" s="18">
        <f>J6*Assumptions!B9</f>
        <v>307820872.17360204</v>
      </c>
      <c r="K10" s="18">
        <f>K6*Assumptions!B9</f>
        <v>315516393.97794205</v>
      </c>
    </row>
    <row r="11" spans="1:11" x14ac:dyDescent="0.25">
      <c r="A11" t="s">
        <v>54</v>
      </c>
      <c r="B11" s="18">
        <f>-B6*B19</f>
        <v>-233687988.41479135</v>
      </c>
      <c r="C11" s="18">
        <f>-C6*C19</f>
        <v>-248597928.45583805</v>
      </c>
      <c r="D11" s="18">
        <f>-D6*D19</f>
        <v>-264112105.3028131</v>
      </c>
      <c r="E11" s="18">
        <f>-E6*E19</f>
        <v>-280252728.40865505</v>
      </c>
      <c r="F11" s="18">
        <f>-F6*F19</f>
        <v>-297042802.91894466</v>
      </c>
      <c r="G11" s="18">
        <f>-G6*G19</f>
        <v>-314506158.16046643</v>
      </c>
      <c r="H11" s="18">
        <f>-H6*H19</f>
        <v>-332667477.1599292</v>
      </c>
      <c r="I11" s="18">
        <f>-I6*I19</f>
        <v>-351552327.23065287</v>
      </c>
      <c r="J11" s="18">
        <f>-J6*J19</f>
        <v>-371187191.6664398</v>
      </c>
      <c r="K11" s="18">
        <f>-K6*K19</f>
        <v>-391599502.5833145</v>
      </c>
    </row>
    <row r="12" spans="1:11" x14ac:dyDescent="0.25">
      <c r="A12" t="s">
        <v>55</v>
      </c>
      <c r="B12" s="18">
        <f>-(B6-Assumptions!B29)*Assumptions!B11</f>
        <v>-53709866.38555692</v>
      </c>
      <c r="C12" s="18">
        <f>-(C6-B6)*Assumptions!B11</f>
        <v>-11109069.021484183</v>
      </c>
      <c r="D12" s="18">
        <f>-(D6-C6)*Assumptions!B11</f>
        <v>-11402751.201644594</v>
      </c>
      <c r="E12" s="18">
        <f>-(E6-D6)*Assumptions!B11</f>
        <v>-11704651.004037127</v>
      </c>
      <c r="F12" s="18">
        <f>-(F6-E6)*Assumptions!B11</f>
        <v>-12015009.821450783</v>
      </c>
      <c r="G12" s="18">
        <f>-(G6-F6)*Assumptions!B11</f>
        <v>-12334076.447100695</v>
      </c>
      <c r="H12" s="18">
        <f>-(H6-G6)*Assumptions!B11</f>
        <v>-12662107.310350524</v>
      </c>
      <c r="I12" s="18">
        <f>-(I6-H6)*Assumptions!B11</f>
        <v>-12999366.720206106</v>
      </c>
      <c r="J12" s="18">
        <f>-(J6-I6)*Assumptions!B11</f>
        <v>-13346127.11684921</v>
      </c>
      <c r="K12" s="18">
        <f>-(K6-J6)*Assumptions!B11</f>
        <v>-13702669.331481177</v>
      </c>
    </row>
    <row r="13" spans="1:11" x14ac:dyDescent="0.25">
      <c r="A13" s="19" t="s">
        <v>56</v>
      </c>
      <c r="B13" s="20">
        <f>B9+B10+B11+B12</f>
        <v>735376892.077093</v>
      </c>
      <c r="C13" s="20">
        <f>C9+C10+C11+C12</f>
        <v>788286900.3977056</v>
      </c>
      <c r="D13" s="20">
        <f>D9+D10+D11+D12</f>
        <v>798364892.2718517</v>
      </c>
      <c r="E13" s="20">
        <f>E9+E10+E11+E12</f>
        <v>808493575.3282217</v>
      </c>
      <c r="F13" s="20">
        <f>F9+F10+F11+F12</f>
        <v>818668906.1836964</v>
      </c>
      <c r="G13" s="20">
        <f>G9+G10+G11+G12</f>
        <v>828886574.6691592</v>
      </c>
      <c r="H13" s="20">
        <f>H9+H10+H11+H12</f>
        <v>839141991.4101838</v>
      </c>
      <c r="I13" s="20">
        <f>I9+I10+I11+I12</f>
        <v>849430274.8847543</v>
      </c>
      <c r="J13" s="20">
        <f>J9+J10+J11+J12</f>
        <v>859746237.9367712</v>
      </c>
      <c r="K13" s="20">
        <f>K9+K10+K11+K12</f>
        <v>870084373.7232659</v>
      </c>
    </row>
    <row r="14" spans="1:11" x14ac:dyDescent="0.25">
      <c r="A14" t="s">
        <v>57</v>
      </c>
      <c r="B14" s="21">
        <f>1/(1+Assumptions!$B$26)^(1-0.5*Assumptions!$B$32)</f>
        <v>0.9681774752023401</v>
      </c>
      <c r="C14" s="21">
        <f>1/(1+Assumptions!$B$26)^(2-0.5*Assumptions!$B$32)</f>
        <v>0.9075382190461704</v>
      </c>
      <c r="D14" s="21">
        <f>1/(1+Assumptions!$B$26)^(3-0.5*Assumptions!$B$32)</f>
        <v>0.8506969436129098</v>
      </c>
      <c r="E14" s="21">
        <f>1/(1+Assumptions!$B$26)^(4-0.5*Assumptions!$B$32)</f>
        <v>0.7974157723439407</v>
      </c>
      <c r="F14" s="21">
        <f>1/(1+Assumptions!$B$26)^(5-0.5*Assumptions!$B$32)</f>
        <v>0.747471727454827</v>
      </c>
      <c r="G14" s="21">
        <f>1/(1+Assumptions!$B$26)^(6-0.5*Assumptions!$B$32)</f>
        <v>0.7006557967896819</v>
      </c>
      <c r="H14" s="21">
        <f>1/(1+Assumptions!$B$26)^(7-0.5*Assumptions!$B$32)</f>
        <v>0.6567720591206606</v>
      </c>
      <c r="I14" s="21">
        <f>1/(1+Assumptions!$B$26)^(8-0.5*Assumptions!$B$32)</f>
        <v>0.6156368642320276</v>
      </c>
      <c r="J14" s="21">
        <f>1/(1+Assumptions!$B$26)^(9-0.5*Assumptions!$B$32)</f>
        <v>0.5770780643575055</v>
      </c>
      <c r="K14" s="21">
        <f>1/(1+Assumptions!$B$26)^(10-0.5*Assumptions!$B$32)</f>
        <v>0.5409342937545298</v>
      </c>
    </row>
    <row r="15" spans="1:11" x14ac:dyDescent="0.25">
      <c r="A15" s="19" t="s">
        <v>58</v>
      </c>
      <c r="B15" s="20">
        <f>B13*B14</f>
        <v>711975342.6933436</v>
      </c>
      <c r="C15" s="20">
        <f>C13*C14</f>
        <v>715400489.6843596</v>
      </c>
      <c r="D15" s="20">
        <f>D13*D14</f>
        <v>679166573.7435142</v>
      </c>
      <c r="E15" s="20">
        <f>E13*E14</f>
        <v>644705528.8054678</v>
      </c>
      <c r="F15" s="20">
        <f>F13*F14</f>
        <v>611931861.5186813</v>
      </c>
      <c r="G15" s="20">
        <f>G13*G14</f>
        <v>580764183.4230899</v>
      </c>
      <c r="H15" s="20">
        <f>H13*H14</f>
        <v>551125013.5930781</v>
      </c>
      <c r="I15" s="20">
        <f>I13*I14</f>
        <v>522940590.8137993</v>
      </c>
      <c r="J15" s="20">
        <f>J13*J14</f>
        <v>496140694.8271993</v>
      </c>
      <c r="K15" s="20">
        <f>K13*K14</f>
        <v>470658476.20684725</v>
      </c>
    </row>
    <row r="17" spans="1:2" x14ac:dyDescent="0.25">
      <c r="A17" s="22" t="s">
        <v>59</v>
      </c>
      <c r="B17" s="23">
        <f>SUM(B15:K15)</f>
        <v>5984808755.30938</v>
      </c>
    </row>
    <row r="19" spans="1:11" x14ac:dyDescent="0.25">
      <c r="A19" t="s">
        <v>7</v>
      </c>
      <c r="B19" s="9">
        <f>Assumptions!$B$10+($B$20-Assumptions!$B$10)*0/9</f>
        <v>0.03062933533240559</v>
      </c>
      <c r="C19" s="9">
        <f>Assumptions!$B$10+($B$20-Assumptions!$B$10)*1/9</f>
        <v>0.03179947355748232</v>
      </c>
      <c r="D19" s="9">
        <f>Assumptions!$B$10+($B$20-Assumptions!$B$10)*2/9</f>
        <v>0.03296961178255905</v>
      </c>
      <c r="E19" s="9">
        <f>Assumptions!$B$10+($B$20-Assumptions!$B$10)*3/9</f>
        <v>0.03413975000763578</v>
      </c>
      <c r="F19" s="9">
        <f>Assumptions!$B$10+($B$20-Assumptions!$B$10)*4/9</f>
        <v>0.03530988823271251</v>
      </c>
      <c r="G19" s="9">
        <f>Assumptions!$B$10+($B$20-Assumptions!$B$10)*5/9</f>
        <v>0.036480026457789236</v>
      </c>
      <c r="H19" s="9">
        <f>Assumptions!$B$10+($B$20-Assumptions!$B$10)*6/9</f>
        <v>0.037650164682865965</v>
      </c>
      <c r="I19" s="9">
        <f>Assumptions!$B$10+($B$20-Assumptions!$B$10)*7/9</f>
        <v>0.038820302907942694</v>
      </c>
      <c r="J19" s="9">
        <f>Assumptions!$B$10+($B$20-Assumptions!$B$10)*8/9</f>
        <v>0.03999044113301942</v>
      </c>
      <c r="K19" s="9">
        <f>Assumptions!$B$10+($B$20-Assumptions!$B$10)*9/9</f>
        <v>0.04116057935809615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0.04116057935809615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870084373.7232659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988565129.6477617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0.11370607983290545</v>
      </c>
    </row>
    <row r="7" spans="1:2" x14ac:dyDescent="0.25">
      <c r="A7" t="s">
        <v>66</v>
      </c>
      <c r="B7" s="18">
        <f>-MAX(B5,0)*B6</f>
        <v>-112405865.55175492</v>
      </c>
    </row>
    <row r="8" spans="1:2" x14ac:dyDescent="0.25">
      <c r="A8" t="s">
        <v>67</v>
      </c>
      <c r="B8" s="18">
        <f>IF(OR(Assumptions!$B$33=0,Assumptions!B12&lt;=0),B5,MAX(B5+B7,0))</f>
        <v>876159264.0960068</v>
      </c>
    </row>
    <row r="9" spans="1:2" x14ac:dyDescent="0.25">
      <c r="A9" t="s">
        <v>68</v>
      </c>
      <c r="B9" s="18">
        <f>B8*(1+Assumptions!B12)/(Assumptions!B26-Assumptions!B12)</f>
        <v>21475876766.4456</v>
      </c>
    </row>
    <row r="10" spans="1:2" x14ac:dyDescent="0.25">
      <c r="A10" t="s">
        <v>69</v>
      </c>
      <c r="B10" s="18">
        <f>B9/(1+Assumptions!B26)^(10-0.5*Assumptions!B32)</f>
        <v>11617038231.416565</v>
      </c>
    </row>
    <row r="11" spans="1:2" x14ac:dyDescent="0.25">
      <c r="A11" t="s">
        <v>70</v>
      </c>
      <c r="B11" s="18">
        <f>Forecast!B17+B10</f>
        <v>17601846986.725945</v>
      </c>
    </row>
    <row r="12" spans="1:2" x14ac:dyDescent="0.25">
      <c r="A12" t="s">
        <v>71</v>
      </c>
      <c r="B12" s="18">
        <f>-Assumptions!B30</f>
        <v>-5377000000</v>
      </c>
    </row>
    <row r="13" spans="1:2" x14ac:dyDescent="0.25">
      <c r="A13" t="s">
        <v>72</v>
      </c>
      <c r="B13" s="18">
        <f>B11+B12</f>
        <v>12224846986.725945</v>
      </c>
    </row>
    <row r="14" spans="1:2" x14ac:dyDescent="0.25">
      <c r="A14" s="19" t="s">
        <v>73</v>
      </c>
      <c r="B14" s="24">
        <f>B13/Assumptions!B31</f>
        <v>100.0953639236723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1530541902.408473</v>
      </c>
    </row>
    <row r="18" spans="1:2" x14ac:dyDescent="0.25">
      <c r="A18" t="s">
        <v>68</v>
      </c>
      <c r="B18" s="18">
        <f>B17*Assumptions!B13</f>
        <v>21640430572.06238</v>
      </c>
    </row>
    <row r="19" spans="1:2" x14ac:dyDescent="0.25">
      <c r="A19" t="s">
        <v>69</v>
      </c>
      <c r="B19" s="18">
        <f>B18/(1+Assumptions!B26)^(10-0.5*Assumptions!B32)</f>
        <v>11706051028.042501</v>
      </c>
    </row>
    <row r="20" spans="1:2" x14ac:dyDescent="0.25">
      <c r="A20" t="s">
        <v>70</v>
      </c>
      <c r="B20" s="18">
        <f>Forecast!B17+B19</f>
        <v>17690859783.351883</v>
      </c>
    </row>
    <row r="21" spans="1:2" x14ac:dyDescent="0.25">
      <c r="A21" t="s">
        <v>71</v>
      </c>
      <c r="B21" s="18">
        <f>-Assumptions!B30</f>
        <v>-5377000000</v>
      </c>
    </row>
    <row r="22" spans="1:2" x14ac:dyDescent="0.25">
      <c r="A22" t="s">
        <v>72</v>
      </c>
      <c r="B22" s="18">
        <f>B20+B21</f>
        <v>12313859783.351883</v>
      </c>
    </row>
    <row r="23" spans="1:2" x14ac:dyDescent="0.25">
      <c r="A23" s="19" t="s">
        <v>73</v>
      </c>
      <c r="B23" s="25">
        <f>B22/Assumptions!B31</f>
        <v>100.8241884465323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100.0953639236723</v>
      </c>
    </row>
    <row r="29" spans="1:2" x14ac:dyDescent="0.25">
      <c r="A29" s="19" t="s">
        <v>81</v>
      </c>
      <c r="B29" s="11">
        <f>B28/B26-1</f>
        <v>0.13744731731445792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0.046817</v>
      </c>
      <c r="B5" s="31">
        <v>166.55656296596823</v>
      </c>
      <c r="C5" s="31">
        <v>191.3483616504267</v>
      </c>
      <c r="D5" s="31">
        <v>227.73835508574052</v>
      </c>
      <c r="E5" s="31">
        <v>286.07160608114015</v>
      </c>
      <c r="F5" s="31">
        <v>394.201957693348</v>
      </c>
    </row>
    <row r="6" spans="1:6" x14ac:dyDescent="0.25">
      <c r="A6" s="30">
        <v>0.056817</v>
      </c>
      <c r="B6" s="31">
        <v>116.64211788436</v>
      </c>
      <c r="C6" s="31">
        <v>128.34607059785614</v>
      </c>
      <c r="D6" s="31">
        <v>143.88044471956627</v>
      </c>
      <c r="E6" s="31">
        <v>165.38777375895106</v>
      </c>
      <c r="F6" s="31">
        <v>196.97468666431328</v>
      </c>
    </row>
    <row r="7" spans="1:6" x14ac:dyDescent="0.25">
      <c r="A7" s="30">
        <v>0.066817</v>
      </c>
      <c r="B7" s="31">
        <v>86.00388273192004</v>
      </c>
      <c r="C7" s="31">
        <v>92.2488296599132</v>
      </c>
      <c r="D7" s="32">
        <v>100.09637376512744</v>
      </c>
      <c r="E7" s="31">
        <v>110.19944596692923</v>
      </c>
      <c r="F7" s="31">
        <v>123.62140614993419</v>
      </c>
    </row>
    <row r="8" spans="1:6" x14ac:dyDescent="0.25">
      <c r="A8" s="30">
        <v>0.076817</v>
      </c>
      <c r="B8" s="31">
        <v>65.28613642743171</v>
      </c>
      <c r="C8" s="31">
        <v>68.85080978826876</v>
      </c>
      <c r="D8" s="31">
        <v>73.18675408304819</v>
      </c>
      <c r="E8" s="31">
        <v>78.54108177111458</v>
      </c>
      <c r="F8" s="31">
        <v>85.27909287158231</v>
      </c>
    </row>
    <row r="9" spans="1:6" x14ac:dyDescent="0.25">
      <c r="A9" s="30">
        <v>0.086817</v>
      </c>
      <c r="B9" s="31">
        <v>50.34410414975142</v>
      </c>
      <c r="C9" s="31">
        <v>52.45048753730742</v>
      </c>
      <c r="D9" s="31">
        <v>54.963732302260276</v>
      </c>
      <c r="E9" s="31">
        <v>57.99125208244643</v>
      </c>
      <c r="F9" s="31">
        <v>61.68191935656013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6720000000</v>
      </c>
      <c r="C5" s="18">
        <v>7104000000</v>
      </c>
      <c r="D5" s="18">
        <v>7093000000</v>
      </c>
      <c r="E5" s="18">
        <v>7389000000</v>
      </c>
      <c r="F5" s="6" t="s">
        <v>91</v>
      </c>
    </row>
    <row r="6" spans="1:6" x14ac:dyDescent="0.25">
      <c r="A6" t="s">
        <v>51</v>
      </c>
      <c r="B6" s="18">
        <v>886000000</v>
      </c>
      <c r="C6" s="18">
        <v>1177000000</v>
      </c>
      <c r="D6" s="18">
        <v>723000000</v>
      </c>
      <c r="E6" s="18">
        <v>823000000</v>
      </c>
      <c r="F6" s="6" t="s">
        <v>92</v>
      </c>
    </row>
    <row r="7" spans="1:6" x14ac:dyDescent="0.25">
      <c r="A7" t="s">
        <v>93</v>
      </c>
      <c r="B7" s="18">
        <v>247000000</v>
      </c>
      <c r="C7" s="18">
        <v>219000000</v>
      </c>
      <c r="D7" s="18">
        <v>235000000</v>
      </c>
      <c r="E7" s="18">
        <v>236000000</v>
      </c>
      <c r="F7" s="6" t="s">
        <v>94</v>
      </c>
    </row>
    <row r="8" spans="1:6" x14ac:dyDescent="0.25">
      <c r="A8" t="s">
        <v>95</v>
      </c>
      <c r="B8" s="18">
        <v>207000000</v>
      </c>
      <c r="C8" s="18">
        <v>220000000</v>
      </c>
      <c r="D8" s="18">
        <v>212000000</v>
      </c>
      <c r="E8" s="18">
        <v>228000000</v>
      </c>
      <c r="F8" s="6" t="s">
        <v>96</v>
      </c>
    </row>
    <row r="9" spans="1:6" x14ac:dyDescent="0.25">
      <c r="A9" t="s">
        <v>97</v>
      </c>
      <c r="B9" s="18">
        <v>-118000000</v>
      </c>
      <c r="C9" s="18">
        <v>211000000</v>
      </c>
      <c r="D9" s="18">
        <v>241000000</v>
      </c>
      <c r="E9" s="18">
        <v>-354000000</v>
      </c>
      <c r="F9" s="6" t="s">
        <v>98</v>
      </c>
    </row>
    <row r="10" spans="1:6" x14ac:dyDescent="0.25">
      <c r="A10" t="s">
        <v>99</v>
      </c>
      <c r="B10" s="18">
        <v>5520000000</v>
      </c>
      <c r="C10" s="18">
        <v>2880000000</v>
      </c>
      <c r="D10" s="18">
        <v>2903000000</v>
      </c>
      <c r="E10" s="18">
        <v>2924000000</v>
      </c>
      <c r="F10" s="6" t="s">
        <v>100</v>
      </c>
    </row>
    <row r="11" spans="1:6" x14ac:dyDescent="0.25">
      <c r="A11" t="s">
        <v>101</v>
      </c>
      <c r="B11" s="18">
        <v>143000000</v>
      </c>
      <c r="C11" s="18">
        <v>167000000</v>
      </c>
      <c r="D11" s="18">
        <v>202000000</v>
      </c>
      <c r="E11" s="18">
        <v>367000000</v>
      </c>
      <c r="F11" s="6" t="s">
        <v>102</v>
      </c>
    </row>
    <row r="12" spans="1:6" x14ac:dyDescent="0.25">
      <c r="A12" t="s">
        <v>34</v>
      </c>
      <c r="B12" s="34">
        <v>122132000</v>
      </c>
      <c r="C12" s="34">
        <v>122694263</v>
      </c>
      <c r="D12" s="34">
        <v>124804000</v>
      </c>
      <c r="E12" s="34">
        <v>124181000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