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<sst xmlns="http://schemas.openxmlformats.org/spreadsheetml/2006/main" count="114" uniqueCount="102">
  <si>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Canadian Imperial Bank of Commerce (CM.TO)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</si>
  <si>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</si>
  <si>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</si>
  <si>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</si>
  <si>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</si>
  <si>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</si>
  <si>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</si>
  <si>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</si>
  <si>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</si>
  <si>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</si>
  <si>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</si>
  <si>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</si>
  <si>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</si>
  <si>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</si>
  <si>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</si>
  <si>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</si>
  <si>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</si>
  <si>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</si>
  <si>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</si>
  <si>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</si>
  <si>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</si>
  <si>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</si>
  <si>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15.1% is not a credible funding cost, so risk-free + 2bp is assumed instead. Interest expense and reported debt are measuring different things - common for banks, whose interest expense includes deposits that total debt excludes.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</si>
  <si>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</si>
  <si>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</si>
  <si>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</si>
  <si>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</si>
  <si>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</si>
  <si>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</si>
  <si>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</si>
  <si>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2025-10-31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</si>
  <si>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</si>
  <si>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</si>
  <si>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</si>
  <si>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</si>
  <si>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</si>
  <si>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</si>
  <si>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</si>
  <si>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</si>
  <si>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</si>
  <si>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</si>
  <si>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</si>
  <si>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</si>
  <si>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</si>
  <si>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</si>
  <si>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</si>
  <si>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</si>
  <si>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</si>
  <si>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</si>
  <si>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</si>
  <si>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</si>
  <si>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</si>
  <si>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</si>
  <si>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</si>
  <si>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</si>
  <si>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</si>
  <si>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</si>
  <si>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</si>
  <si>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</si>
  <si>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</si>
  <si>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</si>
  <si>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</si>
  <si>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</si>
  <si>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</si>
  <si>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</si>
  <si>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</si>
  <si>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</si>
  <si>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</si>
  <si>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</si>
  <si>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</si>
  <si>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</si>
  <si>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</si>
  <si>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</si>
  <si>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</si>
  <si>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</si>
  <si>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</si>
  <si>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</si>
  <si>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</si>
  <si>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</si>
  <si>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</si>
  <si>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</si>
  <si>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</si>
  <si>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</si>
  <si>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</si>
  <si>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</si>
  <si>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</si>
  <si>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</si>
  <si>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</si>
  <si>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</si>
  <si>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</si>
  <si>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</si>
  <si>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</si>
  <si>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</si>
  <si>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</si>
  <si>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</si>
  <si>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</si>
  <si>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</si>
  <si>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</si>
  <si>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</si>
  <si>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CAD assumption - no free live source available for this market.</t>
  </si>
  <si>
    <t>Current EV/EBITDA of 26.3x sits outside a defensible 3-20x band, so the exit multiple is capped at 20.0x. A multiple that far out usually means EBITDA is the wrong denominator for this business.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</si>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</sst>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0.1005834128218781</v>
      </c>
    </row>
    <row r="7" spans="1:2" x14ac:dyDescent="0.25">
      <c r="A7" t="s">
        <v>5</v>
      </c>
      <c r="B7" s="6">
        <v>0.3504329696313427</v>
      </c>
    </row>
    <row r="8" spans="1:2" x14ac:dyDescent="0.25">
      <c r="A8" t="s">
        <v>6</v>
      </c>
      <c r="B8" s="6">
        <v>0.22333785932131484</v>
      </c>
    </row>
    <row r="9" spans="1:2" x14ac:dyDescent="0.25">
      <c r="A9" t="s">
        <v>7</v>
      </c>
      <c r="B9" s="6">
        <v>0.045900393206585045</v>
      </c>
    </row>
    <row r="10" spans="1:2" x14ac:dyDescent="0.25">
      <c r="A10" t="s">
        <v>8</v>
      </c>
      <c r="B10" s="6">
        <v>0.0438405495383004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0.06313366961046532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1.17018</v>
      </c>
      <c r="C19" s="8" t="s">
        <v>19</v>
      </c>
    </row>
    <row r="20" spans="1:2" x14ac:dyDescent="0.25">
      <c r="A20" t="s">
        <v>20</v>
      </c>
      <c r="B20" s="10">
        <f>B17+B19*B18</f>
        <v>0.0973599</v>
      </c>
    </row>
    <row r="21" spans="1:3" x14ac:dyDescent="0.25">
      <c r="A21" t="s">
        <v>21</v>
      </c>
      <c r="B21" s="6">
        <v>0.053000000000000005</v>
      </c>
      <c r="C21" s="8" t="s">
        <v>22</v>
      </c>
    </row>
    <row r="22" spans="1:2" x14ac:dyDescent="0.25">
      <c r="A22" t="s">
        <v>23</v>
      </c>
      <c r="B22" s="11">
        <v>146204835840</v>
      </c>
    </row>
    <row r="23" spans="1:2" x14ac:dyDescent="0.25">
      <c r="A23" t="s">
        <v>24</v>
      </c>
      <c r="B23" s="11">
        <v>227761000000</v>
      </c>
    </row>
    <row r="24" spans="1:2" x14ac:dyDescent="0.25">
      <c r="A24" t="s">
        <v>25</v>
      </c>
      <c r="B24" s="10">
        <f>B22/(B22+B23)</f>
        <v>0.39095773417803126</v>
      </c>
    </row>
    <row r="25" spans="1:2" x14ac:dyDescent="0.25">
      <c r="A25" t="s">
        <v>26</v>
      </c>
      <c r="B25" s="10">
        <f>1-B24</f>
        <v>0.6090422658219687</v>
      </c>
    </row>
    <row r="26" spans="1:2" x14ac:dyDescent="0.25">
      <c r="A26" t="s">
        <v>27</v>
      </c>
      <c r="B26" s="12">
        <f>B24*B20+B25*B21*(1-B8)</f>
        <v>0.06313366961046532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29014000000</v>
      </c>
      <c r="C29" s="8" t="s">
        <v>30</v>
      </c>
    </row>
    <row r="30" spans="1:2" x14ac:dyDescent="0.25">
      <c r="A30" t="s">
        <v>31</v>
      </c>
      <c r="B30" s="11">
        <v>172013000000</v>
      </c>
    </row>
    <row r="31" spans="1:2" x14ac:dyDescent="0.25">
      <c r="A31" t="s">
        <v>32</v>
      </c>
      <c r="B31" s="13">
        <v>940675000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0.1005834128218781</v>
      </c>
      <c r="C5" s="10">
        <f>Assumptions!B6</f>
        <v>0.1005834128218781</v>
      </c>
      <c r="D5" s="10">
        <f>Assumptions!B6</f>
        <v>0.1005834128218781</v>
      </c>
      <c r="E5" s="10">
        <f>Assumptions!B6</f>
        <v>0.1005834128218781</v>
      </c>
      <c r="F5" s="10">
        <f>Assumptions!B6</f>
        <v>0.1005834128218781</v>
      </c>
    </row>
    <row r="6" spans="1:6" x14ac:dyDescent="0.25">
      <c r="A6" t="s">
        <v>43</v>
      </c>
      <c r="B6" s="18">
        <f>Assumptions!B29*(1+B5)</f>
        <v>31932327139.61397</v>
      </c>
      <c r="C6" s="18">
        <f>B6*(1+C5)</f>
        <v>35144189582.661026</v>
      </c>
      <c r="D6" s="18">
        <f>C6*(1+D5)</f>
        <v>38679112111.74417</v>
      </c>
      <c r="E6" s="18">
        <f>D6*(1+E5)</f>
        <v>42569589212.86344</v>
      </c>
      <c r="F6" s="18">
        <f>E6*(1+F5)</f>
        <v>46851383778.31866</v>
      </c>
    </row>
    <row r="7" spans="1:6" x14ac:dyDescent="0.25">
      <c r="A7" t="s">
        <v>5</v>
      </c>
      <c r="B7" s="10">
        <f>Assumptions!B7</f>
        <v>0.3504329696313427</v>
      </c>
      <c r="C7" s="10">
        <f>Assumptions!B7</f>
        <v>0.3504329696313427</v>
      </c>
      <c r="D7" s="10">
        <f>Assumptions!B7</f>
        <v>0.3504329696313427</v>
      </c>
      <c r="E7" s="10">
        <f>Assumptions!B7</f>
        <v>0.3504329696313427</v>
      </c>
      <c r="F7" s="10">
        <f>Assumptions!B7</f>
        <v>0.3504329696313427</v>
      </c>
    </row>
    <row r="8" spans="1:6" x14ac:dyDescent="0.25">
      <c r="A8" t="s">
        <v>44</v>
      </c>
      <c r="B8" s="18">
        <f>B6*B7</f>
        <v>11190140226.774443</v>
      </c>
      <c r="C8" s="18">
        <f>C6*C7</f>
        <v>12315682720.738802</v>
      </c>
      <c r="D8" s="18">
        <f>D6*D7</f>
        <v>13554436120.022144</v>
      </c>
      <c r="E8" s="18">
        <f>E6*E7</f>
        <v>14917787563.850107</v>
      </c>
      <c r="F8" s="18">
        <f>F6*F7</f>
        <v>16418269548.773924</v>
      </c>
    </row>
    <row r="9" spans="1:6" x14ac:dyDescent="0.25">
      <c r="A9" t="s">
        <v>45</v>
      </c>
      <c r="B9" s="18">
        <f>B8*(1-Assumptions!B8)</f>
        <v>8690958263.021305</v>
      </c>
      <c r="C9" s="18">
        <f>C8*(1-Assumptions!B8)</f>
        <v>9565124505.80849</v>
      </c>
      <c r="D9" s="18">
        <f>D8*(1-Assumptions!B8)</f>
        <v>10527217372.66889</v>
      </c>
      <c r="E9" s="18">
        <f>E8*(1-Assumptions!B8)</f>
        <v>11586080823.529692</v>
      </c>
      <c r="F9" s="18">
        <f>F8*(1-Assumptions!B8)</f>
        <v>12751448373.990425</v>
      </c>
    </row>
    <row r="10" spans="1:6" x14ac:dyDescent="0.25">
      <c r="A10" t="s">
        <v>46</v>
      </c>
      <c r="B10" s="18">
        <f>B6*Assumptions!B9</f>
        <v>1465706371.7095885</v>
      </c>
      <c r="C10" s="18">
        <f>C6*Assumptions!B9</f>
        <v>1613132120.770911</v>
      </c>
      <c r="D10" s="18">
        <f>D6*Assumptions!B9</f>
        <v>1775386454.8106434</v>
      </c>
      <c r="E10" s="18">
        <f>E6*Assumptions!B9</f>
        <v>1953960883.5132332</v>
      </c>
      <c r="F10" s="18">
        <f>F6*Assumptions!B9</f>
        <v>2150496937.6974463</v>
      </c>
    </row>
    <row r="11" spans="1:6" x14ac:dyDescent="0.25">
      <c r="A11" t="s">
        <v>47</v>
      </c>
      <c r="B11" s="18">
        <f>-B6*Assumptions!B10</f>
        <v>-1399930769.8374605</v>
      </c>
      <c r="C11" s="18">
        <f>-C6*Assumptions!B10</f>
        <v>-1540740584.3820715</v>
      </c>
      <c r="D11" s="18">
        <f>-D6*Assumptions!B10</f>
        <v>-1695713530.6323953</v>
      </c>
      <c r="E11" s="18">
        <f>-E6*Assumptions!B10</f>
        <v>-1866274184.711638</v>
      </c>
      <c r="F11" s="18">
        <f>-F6*Assumptions!B10</f>
        <v>-2053990411.4713027</v>
      </c>
    </row>
    <row r="12" spans="1:6" x14ac:dyDescent="0.25">
      <c r="A12" t="s">
        <v>48</v>
      </c>
      <c r="B12" s="18">
        <f>-(B6-Assumptions!B29)*Assumptions!B11</f>
        <v>2918327139.6139717</v>
      </c>
      <c r="C12" s="18">
        <f>-(C6-B6)*Assumptions!B11</f>
        <v>3211862443.0470543</v>
      </c>
      <c r="D12" s="18">
        <f>-(D6-C6)*Assumptions!B11</f>
        <v>3534922529.083145</v>
      </c>
      <c r="E12" s="18">
        <f>-(E6-D6)*Assumptions!B11</f>
        <v>3890477101.1192703</v>
      </c>
      <c r="F12" s="18">
        <f>-(F6-E6)*Assumptions!B11</f>
        <v>4281794565.4552155</v>
      </c>
    </row>
    <row r="13" spans="1:6" x14ac:dyDescent="0.25">
      <c r="A13" s="19" t="s">
        <v>49</v>
      </c>
      <c r="B13" s="20">
        <f>B9+B10+B11+B12</f>
        <v>11675061004.507404</v>
      </c>
      <c r="C13" s="20">
        <f>C9+C10+C11+C12</f>
        <v>12849378485.244385</v>
      </c>
      <c r="D13" s="20">
        <f>D9+D10+D11+D12</f>
        <v>14141812825.930285</v>
      </c>
      <c r="E13" s="20">
        <f>E9+E10+E11+E12</f>
        <v>15564244623.450558</v>
      </c>
      <c r="F13" s="20">
        <f>F9+F10+F11+F12</f>
        <v>17129749465.671785</v>
      </c>
    </row>
    <row r="14" spans="1:6" x14ac:dyDescent="0.25">
      <c r="A14" t="s">
        <v>50</v>
      </c>
      <c r="B14" s="21">
        <f>1/(1+Assumptions!$B$26)^(1-0.5*Assumptions!$B$32)</f>
        <v>0.9698533354481567</v>
      </c>
      <c r="C14" s="21">
        <f>1/(1+Assumptions!$B$26)^(2-0.5*Assumptions!$B$32)</f>
        <v>0.9122590725618851</v>
      </c>
      <c r="D14" s="21">
        <f>1/(1+Assumptions!$B$26)^(3-0.5*Assumptions!$B$32)</f>
        <v>0.8580850166246159</v>
      </c>
      <c r="E14" s="21">
        <f>1/(1+Assumptions!$B$26)^(4-0.5*Assumptions!$B$32)</f>
        <v>0.8071280603303818</v>
      </c>
      <c r="F14" s="21">
        <f>1/(1+Assumptions!$B$26)^(5-0.5*Assumptions!$B$32)</f>
        <v>0.7591971578005945</v>
      </c>
    </row>
    <row r="15" spans="1:6" x14ac:dyDescent="0.25">
      <c r="A15" s="19" t="s">
        <v>51</v>
      </c>
      <c r="B15" s="20">
        <f>B13*B14</f>
        <v>11323096856.782213</v>
      </c>
      <c r="C15" s="20">
        <f>C13*C14</f>
        <v>11721962099.945683</v>
      </c>
      <c r="D15" s="20">
        <f>D13*D14</f>
        <v>12134877693.840595</v>
      </c>
      <c r="E15" s="20">
        <f>E13*E14</f>
        <v>12562338573.433222</v>
      </c>
      <c r="F15" s="20">
        <f>F13*F14</f>
        <v>13004857108.174273</v>
      </c>
    </row>
    <row r="17" spans="1:2" x14ac:dyDescent="0.25">
      <c r="A17" s="22" t="s">
        <v>52</v>
      </c>
      <c r="B17" s="23">
        <f>SUM(B15:F15)</f>
        <v>60747132332.17599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17129749465.671785</v>
      </c>
    </row>
    <row r="5" spans="1:2" x14ac:dyDescent="0.25">
      <c r="A5" t="s">
        <v>56</v>
      </c>
      <c r="B5" s="18">
        <f>IF(Assumptions!$B$33=0,B4,B4-Forecast!F11-Forecast!F10-Forecast!F12)</f>
        <v>14421657929.145481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0.39598521920632807</v>
      </c>
    </row>
    <row r="7" spans="1:2" x14ac:dyDescent="0.25">
      <c r="A7" t="s">
        <v>58</v>
      </c>
      <c r="B7" s="18">
        <f>-MAX(Forecast!F9,0)*B6</f>
        <v>-5710763376.391353</v>
      </c>
    </row>
    <row r="8" spans="1:2" x14ac:dyDescent="0.25">
      <c r="A8" t="s">
        <v>59</v>
      </c>
      <c r="B8" s="18">
        <f>IF(OR(Assumptions!$B$33=0,Assumptions!B12&lt;=0),B5,MAX(B5+B7,0))</f>
        <v>8710894552.754128</v>
      </c>
    </row>
    <row r="9" spans="1:2" x14ac:dyDescent="0.25">
      <c r="A9" t="s">
        <v>60</v>
      </c>
      <c r="B9" s="18">
        <f>B8*(1+Assumptions!B12)/(Assumptions!B26-Assumptions!B12)</f>
        <v>234141298432.04535</v>
      </c>
    </row>
    <row r="10" spans="1:2" x14ac:dyDescent="0.25">
      <c r="A10" t="s">
        <v>61</v>
      </c>
      <c r="B10" s="18">
        <f>B9/(1+Assumptions!B26)^(5-0.5*Assumptions!B32)</f>
        <v>177759408293.3496</v>
      </c>
    </row>
    <row r="11" spans="1:2" x14ac:dyDescent="0.25">
      <c r="A11" t="s">
        <v>62</v>
      </c>
      <c r="B11" s="18">
        <f>Forecast!B17+B10</f>
        <v>238506540625.5256</v>
      </c>
    </row>
    <row r="12" spans="1:2" x14ac:dyDescent="0.25">
      <c r="A12" t="s">
        <v>63</v>
      </c>
      <c r="B12" s="18">
        <f>-Assumptions!B30</f>
        <v>-172013000000</v>
      </c>
    </row>
    <row r="13" spans="1:2" x14ac:dyDescent="0.25">
      <c r="A13" t="s">
        <v>64</v>
      </c>
      <c r="B13" s="18">
        <f>B11+B12</f>
        <v>66493540625.525604</v>
      </c>
    </row>
    <row r="14" spans="1:2" x14ac:dyDescent="0.25">
      <c r="A14" s="19" t="s">
        <v>65</v>
      </c>
      <c r="B14" s="24">
        <f>B13/Assumptions!B31</f>
        <v>70.68704985837361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18568766486.47137</v>
      </c>
    </row>
    <row r="18" spans="1:2" x14ac:dyDescent="0.25">
      <c r="A18" t="s">
        <v>60</v>
      </c>
      <c r="B18" s="18">
        <f>B17*Assumptions!B13</f>
        <v>371375329729.4274</v>
      </c>
    </row>
    <row r="19" spans="1:2" x14ac:dyDescent="0.25">
      <c r="A19" t="s">
        <v>61</v>
      </c>
      <c r="B19" s="18">
        <f>B18/(1+Assumptions!B26)^(5-0.5*Assumptions!B32)</f>
        <v>281947094807.8399</v>
      </c>
    </row>
    <row r="20" spans="1:2" x14ac:dyDescent="0.25">
      <c r="A20" t="s">
        <v>62</v>
      </c>
      <c r="B20" s="18">
        <f>Forecast!B17+B19</f>
        <v>342694227140.01587</v>
      </c>
    </row>
    <row r="21" spans="1:2" x14ac:dyDescent="0.25">
      <c r="A21" t="s">
        <v>63</v>
      </c>
      <c r="B21" s="18">
        <f>-Assumptions!B30</f>
        <v>-172013000000</v>
      </c>
    </row>
    <row r="22" spans="1:2" x14ac:dyDescent="0.25">
      <c r="A22" t="s">
        <v>64</v>
      </c>
      <c r="B22" s="18">
        <f>B20+B21</f>
        <v>170681227140.01587</v>
      </c>
    </row>
    <row r="23" spans="1:2" x14ac:dyDescent="0.25">
      <c r="A23" s="19" t="s">
        <v>65</v>
      </c>
      <c r="B23" s="25">
        <f>B22/Assumptions!B31</f>
        <v>181.4454802562159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161.03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70.68704985837361</v>
      </c>
    </row>
    <row r="29" spans="1:2" x14ac:dyDescent="0.25">
      <c r="A29" s="19" t="s">
        <v>73</v>
      </c>
      <c r="B29" s="12">
        <f>B28/B26-1</f>
        <v>-0.5610317961971458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0.043134</v>
      </c>
      <c r="B5" s="31">
        <v>183.29668301773373</v>
      </c>
      <c r="C5" s="31">
        <v>184.76627036335253</v>
      </c>
      <c r="D5" s="31">
        <v>186.23585770897125</v>
      </c>
      <c r="E5" s="31">
        <v>187.70544505459</v>
      </c>
      <c r="F5" s="31">
        <v>189.1750324002088</v>
      </c>
    </row>
    <row r="6" spans="1:6" x14ac:dyDescent="0.25">
      <c r="A6" s="30">
        <v>0.053134</v>
      </c>
      <c r="B6" s="31">
        <v>115.31258783835405</v>
      </c>
      <c r="C6" s="31">
        <v>116.45545756261464</v>
      </c>
      <c r="D6" s="31">
        <v>117.5983272868751</v>
      </c>
      <c r="E6" s="31">
        <v>118.7411970111357</v>
      </c>
      <c r="F6" s="31">
        <v>119.88406673539623</v>
      </c>
    </row>
    <row r="7" spans="1:6" x14ac:dyDescent="0.25">
      <c r="A7" s="30">
        <v>0.063134</v>
      </c>
      <c r="B7" s="31">
        <v>68.84214703770711</v>
      </c>
      <c r="C7" s="31">
        <v>69.76394608037042</v>
      </c>
      <c r="D7" s="32">
        <v>70.68574512303361</v>
      </c>
      <c r="E7" s="31">
        <v>71.6075441656969</v>
      </c>
      <c r="F7" s="31">
        <v>72.52934320836013</v>
      </c>
    </row>
    <row r="8" spans="1:6" x14ac:dyDescent="0.25">
      <c r="A8" s="30">
        <v>0.073134</v>
      </c>
      <c r="B8" s="31">
        <v>35.06202369301551</v>
      </c>
      <c r="C8" s="31">
        <v>35.824951542547424</v>
      </c>
      <c r="D8" s="31">
        <v>36.587879392079266</v>
      </c>
      <c r="E8" s="31">
        <v>37.35080724161118</v>
      </c>
      <c r="F8" s="31">
        <v>38.113735091143056</v>
      </c>
    </row>
    <row r="9" spans="1:6" x14ac:dyDescent="0.25">
      <c r="A9" s="30">
        <v>0.083134</v>
      </c>
      <c r="B9" s="31">
        <v>9.394113103695004</v>
      </c>
      <c r="C9" s="31">
        <v>10.03783319778738</v>
      </c>
      <c r="D9" s="31">
        <v>10.68155329187966</v>
      </c>
      <c r="E9" s="31">
        <v>11.325273385972066</v>
      </c>
      <c r="F9" s="31">
        <v>11.968993480064409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29014000000</v>
      </c>
      <c r="C5" s="18">
        <v>25526000000</v>
      </c>
      <c r="D5" s="18">
        <v>23299000000</v>
      </c>
      <c r="E5" s="18">
        <v>21764000000</v>
      </c>
      <c r="F5" s="8" t="s">
        <v>84</v>
      </c>
    </row>
    <row r="6" spans="1:6" x14ac:dyDescent="0.25">
      <c r="A6" t="s">
        <v>44</v>
      </c>
      <c r="B6" s="18">
        <v>10939000000</v>
      </c>
      <c r="C6" s="18">
        <v>9166000000</v>
      </c>
      <c r="D6" s="18">
        <v>6973000000</v>
      </c>
      <c r="E6" s="18">
        <v>7973000000</v>
      </c>
      <c r="F6" s="8" t="s">
        <v>85</v>
      </c>
    </row>
    <row r="7" spans="1:6" x14ac:dyDescent="0.25">
      <c r="A7" t="s">
        <v>86</v>
      </c>
      <c r="B7" s="18">
        <v>1178000000</v>
      </c>
      <c r="C7" s="18">
        <v>1170000000</v>
      </c>
      <c r="D7" s="18">
        <v>1143000000</v>
      </c>
      <c r="E7" s="18">
        <v>1047000000</v>
      </c>
      <c r="F7" s="8" t="s">
        <v>87</v>
      </c>
    </row>
    <row r="8" spans="1:6" x14ac:dyDescent="0.25">
      <c r="A8" t="s">
        <v>88</v>
      </c>
      <c r="B8" s="18">
        <v>1109000000</v>
      </c>
      <c r="C8" s="18">
        <v>1089000000</v>
      </c>
      <c r="D8" s="18">
        <v>1014000000</v>
      </c>
      <c r="E8" s="18">
        <v>1109000000</v>
      </c>
      <c r="F8" s="8" t="s">
        <v>89</v>
      </c>
    </row>
    <row r="9" spans="1:6" x14ac:dyDescent="0.25">
      <c r="A9" t="s">
        <v>90</v>
      </c>
      <c r="B9" s="18">
        <v>-2105000000</v>
      </c>
      <c r="C9" s="18">
        <v>-2857000000</v>
      </c>
      <c r="D9" s="18">
        <v>-2297000000</v>
      </c>
      <c r="E9" s="18">
        <v>-15557000000</v>
      </c>
      <c r="F9" s="8" t="s">
        <v>91</v>
      </c>
    </row>
    <row r="10" spans="1:6" x14ac:dyDescent="0.25">
      <c r="A10" t="s">
        <v>92</v>
      </c>
      <c r="B10" s="18">
        <v>227761000000</v>
      </c>
      <c r="C10" s="18">
        <v>210521000000</v>
      </c>
      <c r="D10" s="18">
        <v>196518000000</v>
      </c>
      <c r="E10" s="18">
        <v>189629000000</v>
      </c>
      <c r="F10" s="8" t="s">
        <v>93</v>
      </c>
    </row>
    <row r="11" spans="1:6" x14ac:dyDescent="0.25">
      <c r="A11" t="s">
        <v>94</v>
      </c>
      <c r="B11" s="18">
        <v>55748000000</v>
      </c>
      <c r="C11" s="18">
        <v>56031000000</v>
      </c>
      <c r="D11" s="18">
        <v>63170000000</v>
      </c>
      <c r="E11" s="18">
        <v>73328000000</v>
      </c>
      <c r="F11" s="8" t="s">
        <v>95</v>
      </c>
    </row>
    <row r="12" spans="1:6" x14ac:dyDescent="0.25">
      <c r="A12" t="s">
        <v>32</v>
      </c>
      <c r="B12" s="34">
        <v>940675000</v>
      </c>
      <c r="C12" s="34">
        <v>941712000</v>
      </c>
      <c r="D12" s="34">
        <v>916223000</v>
      </c>
      <c r="E12" s="34">
        <v>905684000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2026-09-19T01:04:46Z</dcterms:modified>
</cp:coreProperties>
</file>