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<sst xmlns="http://schemas.openxmlformats.org/spreadsheetml/2006/main" count="111" uniqueCount="99">
  <si>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Comcast Corporation (CMCSA)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</si>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</sst>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0.006220134237919117</v>
      </c>
    </row>
    <row r="7" spans="1:2" x14ac:dyDescent="0.25">
      <c r="A7" t="s">
        <v>5</v>
      </c>
      <c r="B7" s="6">
        <v>0.18336613748288555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0.12060232052678727</v>
      </c>
    </row>
    <row r="10" spans="1:2" x14ac:dyDescent="0.25">
      <c r="A10" t="s">
        <v>8</v>
      </c>
      <c r="B10" s="6">
        <v>0.11998810025936689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4.613665957483731</v>
      </c>
    </row>
    <row r="14" spans="1:3" x14ac:dyDescent="0.25">
      <c r="A14" t="s">
        <v>12</v>
      </c>
      <c r="B14" s="6">
        <v>0.09923086954389221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0.77354</v>
      </c>
      <c r="C19" s="8" t="s">
        <v>19</v>
      </c>
    </row>
    <row r="20" spans="1:2" x14ac:dyDescent="0.25">
      <c r="A20" t="s">
        <v>20</v>
      </c>
      <c r="B20" s="10">
        <f>B17+B19*B18</f>
        <v>0.0925247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80696000512</v>
      </c>
    </row>
    <row r="23" spans="1:2" x14ac:dyDescent="0.25">
      <c r="A23" t="s">
        <v>24</v>
      </c>
      <c r="B23" s="11">
        <v>98937000000</v>
      </c>
    </row>
    <row r="24" spans="1:2" x14ac:dyDescent="0.25">
      <c r="A24" t="s">
        <v>25</v>
      </c>
      <c r="B24" s="10">
        <f>B22/(B22+B23)</f>
        <v>0.4492270366914529</v>
      </c>
    </row>
    <row r="25" spans="1:2" x14ac:dyDescent="0.25">
      <c r="A25" t="s">
        <v>26</v>
      </c>
      <c r="B25" s="10">
        <f>1-B24</f>
        <v>0.5507729633085471</v>
      </c>
    </row>
    <row r="26" spans="1:2" x14ac:dyDescent="0.25">
      <c r="A26" t="s">
        <v>27</v>
      </c>
      <c r="B26" s="12">
        <f>B24*B20+B25*B21*(1-B8)</f>
        <v>0.06331142663963302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123707000000</v>
      </c>
      <c r="C29" s="8" t="s">
        <v>30</v>
      </c>
    </row>
    <row r="30" spans="1:2" x14ac:dyDescent="0.25">
      <c r="A30" t="s">
        <v>31</v>
      </c>
      <c r="B30" s="11">
        <v>89456000000</v>
      </c>
    </row>
    <row r="31" spans="1:2" x14ac:dyDescent="0.25">
      <c r="A31" t="s">
        <v>32</v>
      </c>
      <c r="B31" s="13">
        <v>3709000000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0.006220134237919117</v>
      </c>
      <c r="C5" s="10">
        <f>Assumptions!B6</f>
        <v>0.006220134237919117</v>
      </c>
      <c r="D5" s="10">
        <f>Assumptions!B6</f>
        <v>0.006220134237919117</v>
      </c>
      <c r="E5" s="10">
        <f>Assumptions!B6</f>
        <v>0.006220134237919117</v>
      </c>
      <c r="F5" s="10">
        <f>Assumptions!B6</f>
        <v>0.006220134237919117</v>
      </c>
    </row>
    <row r="6" spans="1:6" x14ac:dyDescent="0.25">
      <c r="A6" t="s">
        <v>43</v>
      </c>
      <c r="B6" s="18">
        <f>Assumptions!B29*(1+B5)</f>
        <v>124476474146.17026</v>
      </c>
      <c r="C6" s="18">
        <f>B6*(1+C5)</f>
        <v>125250734524.82231</v>
      </c>
      <c r="D6" s="18">
        <f>C6*(1+D5)</f>
        <v>126029810906.96468</v>
      </c>
      <c r="E6" s="18">
        <f>D6*(1+E5)</f>
        <v>126813733248.78555</v>
      </c>
      <c r="F6" s="18">
        <f>E6*(1+F5)</f>
        <v>127602531692.80467</v>
      </c>
    </row>
    <row r="7" spans="1:6" x14ac:dyDescent="0.25">
      <c r="A7" t="s">
        <v>5</v>
      </c>
      <c r="B7" s="10">
        <f>Assumptions!B7</f>
        <v>0.18336613748288555</v>
      </c>
      <c r="C7" s="10">
        <f>Assumptions!B7</f>
        <v>0.18336613748288555</v>
      </c>
      <c r="D7" s="10">
        <f>Assumptions!B7</f>
        <v>0.18336613748288555</v>
      </c>
      <c r="E7" s="10">
        <f>Assumptions!B7</f>
        <v>0.18336613748288555</v>
      </c>
      <c r="F7" s="10">
        <f>Assumptions!B7</f>
        <v>0.18336613748288555</v>
      </c>
    </row>
    <row r="8" spans="1:6" x14ac:dyDescent="0.25">
      <c r="A8" t="s">
        <v>44</v>
      </c>
      <c r="B8" s="18">
        <f>B6*B7</f>
        <v>22824770271.671505</v>
      </c>
      <c r="C8" s="18">
        <f>C6*C7</f>
        <v>22966743406.710968</v>
      </c>
      <c r="D8" s="18">
        <f>D6*D7</f>
        <v>23109599633.708553</v>
      </c>
      <c r="E8" s="18">
        <f>E6*E7</f>
        <v>23253344445.614784</v>
      </c>
      <c r="F8" s="18">
        <f>F6*F7</f>
        <v>23397983369.54708</v>
      </c>
    </row>
    <row r="9" spans="1:6" x14ac:dyDescent="0.25">
      <c r="A9" t="s">
        <v>45</v>
      </c>
      <c r="B9" s="18">
        <f>B8*(1-Assumptions!B8)</f>
        <v>18031568514.62049</v>
      </c>
      <c r="C9" s="18">
        <f>C8*(1-Assumptions!B8)</f>
        <v>18143727291.301666</v>
      </c>
      <c r="D9" s="18">
        <f>D8*(1-Assumptions!B8)</f>
        <v>18256583710.629757</v>
      </c>
      <c r="E9" s="18">
        <f>E8*(1-Assumptions!B8)</f>
        <v>18370142112.03568</v>
      </c>
      <c r="F9" s="18">
        <f>F8*(1-Assumptions!B8)</f>
        <v>18484406861.942196</v>
      </c>
    </row>
    <row r="10" spans="1:6" x14ac:dyDescent="0.25">
      <c r="A10" t="s">
        <v>46</v>
      </c>
      <c r="B10" s="18">
        <f>B6*Assumptions!B9</f>
        <v>15012151633.020773</v>
      </c>
      <c r="C10" s="18">
        <f>C6*Assumptions!B9</f>
        <v>15105529231.37816</v>
      </c>
      <c r="D10" s="18">
        <f>D6*Assumptions!B9</f>
        <v>15199487650.932144</v>
      </c>
      <c r="E10" s="18">
        <f>E6*Assumptions!B9</f>
        <v>15294030504.468534</v>
      </c>
      <c r="F10" s="18">
        <f>F6*Assumptions!B9</f>
        <v>15389161427.24516</v>
      </c>
    </row>
    <row r="11" spans="1:6" x14ac:dyDescent="0.25">
      <c r="A11" t="s">
        <v>47</v>
      </c>
      <c r="B11" s="18">
        <f>-B6*Assumptions!B10</f>
        <v>-14935695659.783167</v>
      </c>
      <c r="C11" s="18">
        <f>-C6*Assumptions!B10</f>
        <v>-15028597691.723726</v>
      </c>
      <c r="D11" s="18">
        <f>-D6*Assumptions!B10</f>
        <v>-15122077586.773928</v>
      </c>
      <c r="E11" s="18">
        <f>-E6*Assumptions!B10</f>
        <v>-15216138939.31989</v>
      </c>
      <c r="F11" s="18">
        <f>-F6*Assumptions!B10</f>
        <v>-15310785366.105288</v>
      </c>
    </row>
    <row r="12" spans="1:6" x14ac:dyDescent="0.25">
      <c r="A12" t="s">
        <v>48</v>
      </c>
      <c r="B12" s="18">
        <f>-(B6-Assumptions!B29)*Assumptions!B11</f>
        <v>-769474146.1702576</v>
      </c>
      <c r="C12" s="18">
        <f>-(C6-B6)*Assumptions!B11</f>
        <v>-774260378.6520538</v>
      </c>
      <c r="D12" s="18">
        <f>-(D6-C6)*Assumptions!B11</f>
        <v>-779076382.1423645</v>
      </c>
      <c r="E12" s="18">
        <f>-(E6-D6)*Assumptions!B11</f>
        <v>-783922341.8208771</v>
      </c>
      <c r="F12" s="18">
        <f>-(F6-E6)*Assumptions!B11</f>
        <v>-788798444.0191193</v>
      </c>
    </row>
    <row r="13" spans="1:6" x14ac:dyDescent="0.25">
      <c r="A13" s="19" t="s">
        <v>49</v>
      </c>
      <c r="B13" s="20">
        <f>B9+B10+B11+B12</f>
        <v>17338550341.687843</v>
      </c>
      <c r="C13" s="20">
        <f>C9+C10+C11+C12</f>
        <v>17446398452.304047</v>
      </c>
      <c r="D13" s="20">
        <f>D9+D10+D11+D12</f>
        <v>17554917392.645607</v>
      </c>
      <c r="E13" s="20">
        <f>E9+E10+E11+E12</f>
        <v>17664111335.363445</v>
      </c>
      <c r="F13" s="20">
        <f>F9+F10+F11+F12</f>
        <v>17773984479.06295</v>
      </c>
    </row>
    <row r="14" spans="1:6" x14ac:dyDescent="0.25">
      <c r="A14" t="s">
        <v>50</v>
      </c>
      <c r="B14" s="21">
        <f>1/(1+Assumptions!$B$26)^(1-0.5*Assumptions!$B$32)</f>
        <v>0.969772265382978</v>
      </c>
      <c r="C14" s="21">
        <f>1/(1+Assumptions!$B$26)^(2-0.5*Assumptions!$B$32)</f>
        <v>0.9120303244062131</v>
      </c>
      <c r="D14" s="21">
        <f>1/(1+Assumptions!$B$26)^(3-0.5*Assumptions!$B$32)</f>
        <v>0.8577264398338019</v>
      </c>
      <c r="E14" s="21">
        <f>1/(1+Assumptions!$B$26)^(4-0.5*Assumptions!$B$32)</f>
        <v>0.806655903759505</v>
      </c>
      <c r="F14" s="21">
        <f>1/(1+Assumptions!$B$26)^(5-0.5*Assumptions!$B$32)</f>
        <v>0.7586261969447347</v>
      </c>
    </row>
    <row r="15" spans="1:6" x14ac:dyDescent="0.25">
      <c r="A15" s="19" t="s">
        <v>51</v>
      </c>
      <c r="B15" s="20">
        <f>B13*B14</f>
        <v>16814445243.315428</v>
      </c>
      <c r="C15" s="20">
        <f>C13*C14</f>
        <v>15911644440.174913</v>
      </c>
      <c r="D15" s="20">
        <f>D13*D14</f>
        <v>15057316796.770405</v>
      </c>
      <c r="E15" s="20">
        <f>E13*E14</f>
        <v>14248859693.336117</v>
      </c>
      <c r="F15" s="20">
        <f>F13*F14</f>
        <v>13483810249.906267</v>
      </c>
    </row>
    <row r="17" spans="1:2" x14ac:dyDescent="0.25">
      <c r="A17" s="22" t="s">
        <v>52</v>
      </c>
      <c r="B17" s="23">
        <f>SUM(B15:F15)</f>
        <v>75516076423.50313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17773984479.06295</v>
      </c>
    </row>
    <row r="5" spans="1:2" x14ac:dyDescent="0.25">
      <c r="A5" t="s">
        <v>56</v>
      </c>
      <c r="B5" s="18">
        <f>IF(Assumptions!$B$33=0,B4,B4-Forecast!F11-Forecast!F10-Forecast!F12)</f>
        <v>23290621593.95823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0.25193772981039836</v>
      </c>
    </row>
    <row r="7" spans="1:2" x14ac:dyDescent="0.25">
      <c r="A7" t="s">
        <v>58</v>
      </c>
      <c r="B7" s="18">
        <f>-MAX(Forecast!F9,0)*B6</f>
        <v>-5867786330.254878</v>
      </c>
    </row>
    <row r="8" spans="1:2" x14ac:dyDescent="0.25">
      <c r="A8" t="s">
        <v>59</v>
      </c>
      <c r="B8" s="18">
        <f>IF(OR(Assumptions!$B$33=0,Assumptions!B12&lt;=0),B5,MAX(B5+B7,0))</f>
        <v>17422835263.70335</v>
      </c>
    </row>
    <row r="9" spans="1:2" x14ac:dyDescent="0.25">
      <c r="A9" t="s">
        <v>60</v>
      </c>
      <c r="B9" s="18">
        <f>B8*(1+Assumptions!B12)/(Assumptions!B26-Assumptions!B12)</f>
        <v>466137852637.9773</v>
      </c>
    </row>
    <row r="10" spans="1:2" x14ac:dyDescent="0.25">
      <c r="A10" t="s">
        <v>61</v>
      </c>
      <c r="B10" s="18">
        <f>B9/(1+Assumptions!B26)^(5-0.5*Assumptions!B32)</f>
        <v>353624386398.7339</v>
      </c>
    </row>
    <row r="11" spans="1:2" x14ac:dyDescent="0.25">
      <c r="A11" t="s">
        <v>62</v>
      </c>
      <c r="B11" s="18">
        <f>Forecast!B17+B10</f>
        <v>429140462822.237</v>
      </c>
    </row>
    <row r="12" spans="1:2" x14ac:dyDescent="0.25">
      <c r="A12" t="s">
        <v>63</v>
      </c>
      <c r="B12" s="18">
        <f>-Assumptions!B30</f>
        <v>-89456000000</v>
      </c>
    </row>
    <row r="13" spans="1:2" x14ac:dyDescent="0.25">
      <c r="A13" t="s">
        <v>64</v>
      </c>
      <c r="B13" s="18">
        <f>B11+B12</f>
        <v>339684462822.237</v>
      </c>
    </row>
    <row r="14" spans="1:2" x14ac:dyDescent="0.25">
      <c r="A14" s="19" t="s">
        <v>65</v>
      </c>
      <c r="B14" s="24">
        <f>B13/Assumptions!B31</f>
        <v>91.58384007070289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38787144796.79224</v>
      </c>
    </row>
    <row r="18" spans="1:2" x14ac:dyDescent="0.25">
      <c r="A18" t="s">
        <v>60</v>
      </c>
      <c r="B18" s="18">
        <f>B17*Assumptions!B13</f>
        <v>178950929536.95255</v>
      </c>
    </row>
    <row r="19" spans="1:2" x14ac:dyDescent="0.25">
      <c r="A19" t="s">
        <v>61</v>
      </c>
      <c r="B19" s="18">
        <f>B18/(1+Assumptions!B26)^(5-0.5*Assumptions!B32)</f>
        <v>135756863114.34349</v>
      </c>
    </row>
    <row r="20" spans="1:2" x14ac:dyDescent="0.25">
      <c r="A20" t="s">
        <v>62</v>
      </c>
      <c r="B20" s="18">
        <f>Forecast!B17+B19</f>
        <v>211272939537.84662</v>
      </c>
    </row>
    <row r="21" spans="1:2" x14ac:dyDescent="0.25">
      <c r="A21" t="s">
        <v>63</v>
      </c>
      <c r="B21" s="18">
        <f>-Assumptions!B30</f>
        <v>-89456000000</v>
      </c>
    </row>
    <row r="22" spans="1:2" x14ac:dyDescent="0.25">
      <c r="A22" t="s">
        <v>64</v>
      </c>
      <c r="B22" s="18">
        <f>B20+B21</f>
        <v>121816939537.84662</v>
      </c>
    </row>
    <row r="23" spans="1:2" x14ac:dyDescent="0.25">
      <c r="A23" s="19" t="s">
        <v>65</v>
      </c>
      <c r="B23" s="25">
        <f>B22/Assumptions!B31</f>
        <v>32.84360731675562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22.74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91.58384007070289</v>
      </c>
    </row>
    <row r="29" spans="1:2" x14ac:dyDescent="0.25">
      <c r="A29" s="19" t="s">
        <v>73</v>
      </c>
      <c r="B29" s="12">
        <f>B28/B26-1</f>
        <v>3.0274336002947626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0.043311</v>
      </c>
      <c r="B5" s="31">
        <v>155.10005695882083</v>
      </c>
      <c r="C5" s="31">
        <v>178.47412808140962</v>
      </c>
      <c r="D5" s="31">
        <v>214.47046072321322</v>
      </c>
      <c r="E5" s="31">
        <v>277.31292407424155</v>
      </c>
      <c r="F5" s="31">
        <v>415.4544071536709</v>
      </c>
    </row>
    <row r="6" spans="1:6" x14ac:dyDescent="0.25">
      <c r="A6" s="30">
        <v>0.053311</v>
      </c>
      <c r="B6" s="31">
        <v>108.49421976440924</v>
      </c>
      <c r="C6" s="31">
        <v>118.2373607202167</v>
      </c>
      <c r="D6" s="31">
        <v>131.33350174048465</v>
      </c>
      <c r="E6" s="31">
        <v>149.9402079647141</v>
      </c>
      <c r="F6" s="31">
        <v>178.57162269799053</v>
      </c>
    </row>
    <row r="7" spans="1:6" x14ac:dyDescent="0.25">
      <c r="A7" s="30">
        <v>0.063311</v>
      </c>
      <c r="B7" s="31">
        <v>81.19826254006254</v>
      </c>
      <c r="C7" s="31">
        <v>85.81983949489589</v>
      </c>
      <c r="D7" s="32">
        <v>91.58509349416217</v>
      </c>
      <c r="E7" s="31">
        <v>99.00902425766854</v>
      </c>
      <c r="F7" s="31">
        <v>108.97044749180475</v>
      </c>
    </row>
    <row r="8" spans="1:6" x14ac:dyDescent="0.25">
      <c r="A8" s="30">
        <v>0.073311</v>
      </c>
      <c r="B8" s="31">
        <v>63.276698429405776</v>
      </c>
      <c r="C8" s="31">
        <v>65.56638835357701</v>
      </c>
      <c r="D8" s="31">
        <v>68.28239011143286</v>
      </c>
      <c r="E8" s="31">
        <v>71.57234927812215</v>
      </c>
      <c r="F8" s="31">
        <v>75.66098880873608</v>
      </c>
    </row>
    <row r="9" spans="1:6" x14ac:dyDescent="0.25">
      <c r="A9" s="30">
        <v>0.083311</v>
      </c>
      <c r="B9" s="31">
        <v>50.61189020594312</v>
      </c>
      <c r="C9" s="31">
        <v>51.71281810802962</v>
      </c>
      <c r="D9" s="31">
        <v>52.96469514096425</v>
      </c>
      <c r="E9" s="31">
        <v>54.40999353304363</v>
      </c>
      <c r="F9" s="31">
        <v>56.10876835220613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123707000000</v>
      </c>
      <c r="C5" s="18">
        <v>123731000000</v>
      </c>
      <c r="D5" s="18">
        <v>121572000000</v>
      </c>
      <c r="E5" s="18">
        <v>121427000000</v>
      </c>
      <c r="F5" s="8" t="s">
        <v>84</v>
      </c>
    </row>
    <row r="6" spans="1:6" x14ac:dyDescent="0.25">
      <c r="A6" t="s">
        <v>44</v>
      </c>
      <c r="B6" s="18">
        <v>20670000000</v>
      </c>
      <c r="C6" s="18">
        <v>23298000000</v>
      </c>
      <c r="D6" s="18">
        <v>23313000000</v>
      </c>
      <c r="E6" s="18">
        <v>22624000000</v>
      </c>
      <c r="F6" s="8" t="s">
        <v>85</v>
      </c>
    </row>
    <row r="7" spans="1:6" x14ac:dyDescent="0.25">
      <c r="A7" t="s">
        <v>86</v>
      </c>
      <c r="B7" s="18">
        <v>16210000000</v>
      </c>
      <c r="C7" s="18">
        <v>14802000000</v>
      </c>
      <c r="D7" s="18">
        <v>14336000000</v>
      </c>
      <c r="E7" s="18">
        <v>13821000000</v>
      </c>
      <c r="F7" s="8" t="s">
        <v>87</v>
      </c>
    </row>
    <row r="8" spans="1:6" x14ac:dyDescent="0.25">
      <c r="A8" t="s">
        <v>88</v>
      </c>
      <c r="B8" s="18">
        <v>14408000000</v>
      </c>
      <c r="C8" s="18">
        <v>15130000000</v>
      </c>
      <c r="D8" s="18">
        <v>15540000000</v>
      </c>
      <c r="E8" s="18">
        <v>13767000000</v>
      </c>
      <c r="F8" s="8" t="s">
        <v>89</v>
      </c>
    </row>
    <row r="9" spans="1:6" x14ac:dyDescent="0.25">
      <c r="A9" t="s">
        <v>90</v>
      </c>
      <c r="B9" s="18">
        <v>-2177000000</v>
      </c>
      <c r="C9" s="18">
        <v>4943000000</v>
      </c>
      <c r="D9" s="18">
        <v>-1008000000</v>
      </c>
      <c r="E9" s="18">
        <v>2904000000</v>
      </c>
      <c r="F9" s="8" t="s">
        <v>91</v>
      </c>
    </row>
    <row r="10" spans="1:6" x14ac:dyDescent="0.25">
      <c r="A10" t="s">
        <v>92</v>
      </c>
      <c r="B10" s="18">
        <v>98937000000</v>
      </c>
      <c r="C10" s="18">
        <v>99093000000</v>
      </c>
      <c r="D10" s="18">
        <v>97090000000</v>
      </c>
      <c r="E10" s="18">
        <v>99983000000</v>
      </c>
      <c r="F10" s="8" t="s">
        <v>93</v>
      </c>
    </row>
    <row r="11" spans="1:6" x14ac:dyDescent="0.25">
      <c r="A11" t="s">
        <v>94</v>
      </c>
      <c r="B11" s="18">
        <v>9481000000</v>
      </c>
      <c r="C11" s="18">
        <v>7322000000</v>
      </c>
      <c r="D11" s="18">
        <v>6215000000</v>
      </c>
      <c r="E11" s="18">
        <v>4749000000</v>
      </c>
      <c r="F11" s="8" t="s">
        <v>95</v>
      </c>
    </row>
    <row r="12" spans="1:6" x14ac:dyDescent="0.25">
      <c r="A12" t="s">
        <v>32</v>
      </c>
      <c r="B12" s="34">
        <v>3709000000</v>
      </c>
      <c r="C12" s="34">
        <v>3908000000</v>
      </c>
      <c r="D12" s="34">
        <v>4148000000</v>
      </c>
      <c r="E12" s="34">
        <v>4430000000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2026-09-19T00:06:52Z</dcterms:modified>
</cp:coreProperties>
</file>