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<sst xmlns="http://schemas.openxmlformats.org/spreadsheetml/2006/main" count="119" uniqueCount="106">
  <si>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Comcast Corporation (CMCSA)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</si>
  <si>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</si>
  <si>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</si>
  <si>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</si>
  <si>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</si>
  <si>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</si>
  <si>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</si>
  <si>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</si>
  <si>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</si>
  <si>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</si>
  <si>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</si>
  <si>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</si>
  <si>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</si>
  <si>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</si>
  <si>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</si>
  <si>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</si>
  <si>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</si>
  <si>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</si>
  <si>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</si>
  <si>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</si>
  <si>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</si>
  <si>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</si>
  <si>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</si>
  <si>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</si>
  <si>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4.7x interest cover. Book interest / average debt was lower, at 4.5%.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</si>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</sst>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-0.03171893069915199</v>
      </c>
    </row>
    <row r="7" spans="1:2" x14ac:dyDescent="0.25">
      <c r="A7" t="s">
        <v>4</v>
      </c>
      <c r="B7" s="5">
        <v>0.18336613748288555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0.12060232052678727</v>
      </c>
    </row>
    <row r="10" spans="1:3" x14ac:dyDescent="0.25">
      <c r="A10" t="s">
        <v>7</v>
      </c>
      <c r="B10" s="5">
        <v>0.11998810025936689</v>
      </c>
      <c r="C10" s="6" t="s">
        <v>8</v>
      </c>
    </row>
    <row r="11" spans="1:2" x14ac:dyDescent="0.25">
      <c r="A11" t="s">
        <v>9</v>
      </c>
      <c r="B11" s="5">
        <v>0.015115195126039814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4.661343930585684</v>
      </c>
    </row>
    <row r="14" spans="1:3" x14ac:dyDescent="0.25">
      <c r="A14" t="s">
        <v>12</v>
      </c>
      <c r="B14" s="5">
        <v>0.09923086954389221</v>
      </c>
      <c r="C14" s="6" t="s">
        <v>13</v>
      </c>
    </row>
    <row r="15" spans="1:3" x14ac:dyDescent="0.25">
      <c r="A15" t="s">
        <v>14</v>
      </c>
      <c r="B15" s="5">
        <v>0.07292445680600772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0.77823</v>
      </c>
      <c r="C19" s="6" t="s">
        <v>21</v>
      </c>
    </row>
    <row r="20" spans="1:2" x14ac:dyDescent="0.25">
      <c r="A20" t="s">
        <v>22</v>
      </c>
      <c r="B20" s="9">
        <f>B17+B19*B18</f>
        <v>0.081859129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82454364160</v>
      </c>
    </row>
    <row r="23" spans="1:2" x14ac:dyDescent="0.25">
      <c r="A23" t="s">
        <v>26</v>
      </c>
      <c r="B23" s="10">
        <v>98937000000</v>
      </c>
    </row>
    <row r="24" spans="1:2" x14ac:dyDescent="0.25">
      <c r="A24" t="s">
        <v>27</v>
      </c>
      <c r="B24" s="9">
        <f>B22/(B22+B23)</f>
        <v>0.45456609547998894</v>
      </c>
    </row>
    <row r="25" spans="1:2" x14ac:dyDescent="0.25">
      <c r="A25" t="s">
        <v>28</v>
      </c>
      <c r="B25" s="9">
        <f>1-B24</f>
        <v>0.5454339045200111</v>
      </c>
    </row>
    <row r="26" spans="1:2" x14ac:dyDescent="0.25">
      <c r="A26" t="s">
        <v>29</v>
      </c>
      <c r="B26" s="11">
        <f>B24*B20+B25*B21*(1-B8)</f>
        <v>0.061659241245470425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123707000000</v>
      </c>
      <c r="C29" s="6" t="s">
        <v>32</v>
      </c>
    </row>
    <row r="30" spans="1:2" x14ac:dyDescent="0.25">
      <c r="A30" t="s">
        <v>33</v>
      </c>
      <c r="B30" s="10">
        <v>89456000000</v>
      </c>
    </row>
    <row r="31" spans="1:2" x14ac:dyDescent="0.25">
      <c r="A31" t="s">
        <v>34</v>
      </c>
      <c r="B31" s="12">
        <v>3709000000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-0.03171893069915199</v>
      </c>
      <c r="C5" s="5">
        <v>-0.027989531292511804</v>
      </c>
      <c r="D5" s="5">
        <v>-0.02136583988094783</v>
      </c>
      <c r="E5" s="5">
        <v>-0.014742148469383853</v>
      </c>
      <c r="F5" s="5">
        <v>-0.008118457057819876</v>
      </c>
      <c r="G5" s="5">
        <v>-0.0014947656462559016</v>
      </c>
      <c r="H5" s="5">
        <v>0.005128925765308073</v>
      </c>
      <c r="I5" s="5">
        <v>0.011752617176872052</v>
      </c>
      <c r="J5" s="5">
        <v>0.018376308588436023</v>
      </c>
      <c r="K5" s="5">
        <v>0.025</v>
      </c>
    </row>
    <row r="6" spans="1:11" x14ac:dyDescent="0.25">
      <c r="A6" t="s">
        <v>50</v>
      </c>
      <c r="B6" s="18">
        <f>Assumptions!B29*(1+B5)</f>
        <v>119783146240</v>
      </c>
      <c r="C6" s="18">
        <f>B6*(1+C5)</f>
        <v>116430472120</v>
      </c>
      <c r="D6" s="18">
        <f>C6*(1+D5)</f>
        <v>113942837295.42091</v>
      </c>
      <c r="E6" s="18">
        <f>D6*(1+E5)</f>
        <v>112263075070.98897</v>
      </c>
      <c r="F6" s="18">
        <f>E6*(1+F5)</f>
        <v>111351672116.84633</v>
      </c>
      <c r="G6" s="18">
        <f>F6*(1+G5)</f>
        <v>111185227462.7129</v>
      </c>
      <c r="H6" s="18">
        <f>G6*(1+H5)</f>
        <v>111755488240.56804</v>
      </c>
      <c r="I6" s="18">
        <f>H6*(1+I5)</f>
        <v>113068907711.27386</v>
      </c>
      <c r="J6" s="18">
        <f>I6*(1+J5)</f>
        <v>115146696851.13364</v>
      </c>
      <c r="K6" s="18">
        <f>J6*(1+K5)</f>
        <v>118025364272.41197</v>
      </c>
    </row>
    <row r="7" spans="1:11" x14ac:dyDescent="0.25">
      <c r="A7" t="s">
        <v>4</v>
      </c>
      <c r="B7" s="9">
        <f>Assumptions!B7</f>
        <v>0.18336613748288555</v>
      </c>
      <c r="C7" s="9">
        <f>Assumptions!B7</f>
        <v>0.18336613748288555</v>
      </c>
      <c r="D7" s="9">
        <f>Assumptions!B7</f>
        <v>0.18336613748288555</v>
      </c>
      <c r="E7" s="9">
        <f>Assumptions!B7</f>
        <v>0.18336613748288555</v>
      </c>
      <c r="F7" s="9">
        <f>Assumptions!B7</f>
        <v>0.18336613748288555</v>
      </c>
      <c r="G7" s="9">
        <f>Assumptions!B7</f>
        <v>0.18336613748288555</v>
      </c>
      <c r="H7" s="9">
        <f>Assumptions!B7</f>
        <v>0.18336613748288555</v>
      </c>
      <c r="I7" s="9">
        <f>Assumptions!B7</f>
        <v>0.18336613748288555</v>
      </c>
      <c r="J7" s="9">
        <f>Assumptions!B7</f>
        <v>0.18336613748288555</v>
      </c>
      <c r="K7" s="9">
        <f>Assumptions!B7</f>
        <v>0.18336613748288555</v>
      </c>
    </row>
    <row r="8" spans="1:11" x14ac:dyDescent="0.25">
      <c r="A8" t="s">
        <v>51</v>
      </c>
      <c r="B8" s="18">
        <f>B6*B7</f>
        <v>21964172861.576424</v>
      </c>
      <c r="C8" s="18">
        <f>C6*C7</f>
        <v>21349405957.953194</v>
      </c>
      <c r="D8" s="18">
        <f>D6*D7</f>
        <v>20893257968.70221</v>
      </c>
      <c r="E8" s="18">
        <f>E6*E7</f>
        <v>20585246457.718464</v>
      </c>
      <c r="F8" s="18">
        <f>F6*F7</f>
        <v>20418126018.326836</v>
      </c>
      <c r="G8" s="18">
        <f>G6*G7</f>
        <v>20387605704.993717</v>
      </c>
      <c r="H8" s="18">
        <f>H6*H7</f>
        <v>20492172221.186996</v>
      </c>
      <c r="I8" s="18">
        <f>I6*I7</f>
        <v>20733008876.42514</v>
      </c>
      <c r="J8" s="18">
        <f>J6*J7</f>
        <v>21114005045.505116</v>
      </c>
      <c r="K8" s="18">
        <f>K6*K7</f>
        <v>21641855171.642742</v>
      </c>
    </row>
    <row r="9" spans="1:11" x14ac:dyDescent="0.25">
      <c r="A9" t="s">
        <v>52</v>
      </c>
      <c r="B9" s="18">
        <f>B8*(1-Assumptions!B8)</f>
        <v>17351696560.645374</v>
      </c>
      <c r="C9" s="18">
        <f>C8*(1-Assumptions!B8)</f>
        <v>16866030706.783024</v>
      </c>
      <c r="D9" s="18">
        <f>D8*(1-Assumptions!B8)</f>
        <v>16505673795.274746</v>
      </c>
      <c r="E9" s="18">
        <f>E8*(1-Assumptions!B8)</f>
        <v>16262344701.597588</v>
      </c>
      <c r="F9" s="18">
        <f>F8*(1-Assumptions!B8)</f>
        <v>16130319554.4782</v>
      </c>
      <c r="G9" s="18">
        <f>G8*(1-Assumptions!B8)</f>
        <v>16106208506.945038</v>
      </c>
      <c r="H9" s="18">
        <f>H8*(1-Assumptions!B8)</f>
        <v>16188816054.737728</v>
      </c>
      <c r="I9" s="18">
        <f>I8*(1-Assumptions!B8)</f>
        <v>16379077012.375862</v>
      </c>
      <c r="J9" s="18">
        <f>J8*(1-Assumptions!B8)</f>
        <v>16680063985.949041</v>
      </c>
      <c r="K9" s="18">
        <f>K8*(1-Assumptions!B8)</f>
        <v>17097065585.597767</v>
      </c>
    </row>
    <row r="10" spans="1:11" x14ac:dyDescent="0.25">
      <c r="A10" t="s">
        <v>53</v>
      </c>
      <c r="B10" s="18">
        <f>B6*Assumptions!B9</f>
        <v>14446125396.543512</v>
      </c>
      <c r="C10" s="18">
        <f>C6*Assumptions!B9</f>
        <v>14041785117.701408</v>
      </c>
      <c r="D10" s="18">
        <f>D6*Assumptions!B9</f>
        <v>13741770585.233923</v>
      </c>
      <c r="E10" s="18">
        <f>E6*Assumptions!B9</f>
        <v>13539187363.034193</v>
      </c>
      <c r="F10" s="18">
        <f>F6*Assumptions!B9</f>
        <v>13429270051.82962</v>
      </c>
      <c r="G10" s="18">
        <f>G6*Assumptions!B9</f>
        <v>13409196440.301851</v>
      </c>
      <c r="H10" s="18">
        <f>H6*Assumptions!B9</f>
        <v>13477971213.416592</v>
      </c>
      <c r="I10" s="18">
        <f>I6*Assumptions!B9</f>
        <v>13636372649.40878</v>
      </c>
      <c r="J10" s="18">
        <f>J6*Assumptions!B9</f>
        <v>13886958841.241224</v>
      </c>
      <c r="K10" s="18">
        <f>K6*Assumptions!B9</f>
        <v>14234132812.272255</v>
      </c>
    </row>
    <row r="11" spans="1:11" x14ac:dyDescent="0.25">
      <c r="A11" t="s">
        <v>54</v>
      </c>
      <c r="B11" s="18">
        <f>-B6*B19</f>
        <v>-14372552160.427526</v>
      </c>
      <c r="C11" s="18">
        <f>-C6*C19</f>
        <v>-13956315423.373661</v>
      </c>
      <c r="D11" s="18">
        <f>-D6*D19</f>
        <v>-13644469460.18002</v>
      </c>
      <c r="E11" s="18">
        <f>-E6*E19</f>
        <v>-13429864444.896776</v>
      </c>
      <c r="F11" s="18">
        <f>-F6*F19</f>
        <v>-13307487690.143284</v>
      </c>
      <c r="G11" s="18">
        <f>-G6*G19</f>
        <v>-13274269088.343477</v>
      </c>
      <c r="H11" s="18">
        <f>-H6*H19</f>
        <v>-13328956449.394821</v>
      </c>
      <c r="I11" s="18">
        <f>-I6*I19</f>
        <v>-13472053761.450811</v>
      </c>
      <c r="J11" s="18">
        <f>-J6*J19</f>
        <v>-13705818517.603018</v>
      </c>
      <c r="K11" s="18">
        <f>-K6*K19</f>
        <v>-14034317072.92767</v>
      </c>
    </row>
    <row r="12" spans="1:11" x14ac:dyDescent="0.25">
      <c r="A12" t="s">
        <v>55</v>
      </c>
      <c r="B12" s="18">
        <f>-(B6-Assumptions!B29)*Assumptions!B11</f>
        <v>59309815.22844499</v>
      </c>
      <c r="C12" s="18">
        <f>-(C6-B6)*Assumptions!B11</f>
        <v>50676323.51782382</v>
      </c>
      <c r="D12" s="18">
        <f>-(D6-C6)*Assumptions!B11</f>
        <v>37601085.775844716</v>
      </c>
      <c r="E12" s="18">
        <f>-(E6-D6)*Assumptions!B11</f>
        <v>25389933.787639543</v>
      </c>
      <c r="F12" s="18">
        <f>-(F6-E6)*Assumptions!B11</f>
        <v>13776033.490315108</v>
      </c>
      <c r="G12" s="18">
        <f>-(G6-F6)*Assumptions!B11</f>
        <v>2515843.4249128955</v>
      </c>
      <c r="H12" s="18">
        <f>-(H6-G6)*Assumptions!B11</f>
        <v>-8619602.93000758</v>
      </c>
      <c r="I12" s="18">
        <f>-(I6-H6)*Assumptions!B11</f>
        <v>-19852591.58205849</v>
      </c>
      <c r="J12" s="18">
        <f>-(J6-I6)*Assumptions!B11</f>
        <v>-31406188.27974688</v>
      </c>
      <c r="K12" s="18">
        <f>-(K6-J6)*Assumptions!B11</f>
        <v>-43511619.775595896</v>
      </c>
    </row>
    <row r="13" spans="1:11" x14ac:dyDescent="0.25">
      <c r="A13" s="19" t="s">
        <v>56</v>
      </c>
      <c r="B13" s="20">
        <f>B9+B10+B11+B12</f>
        <v>17484579611.989803</v>
      </c>
      <c r="C13" s="20">
        <f>C9+C10+C11+C12</f>
        <v>17002176724.628595</v>
      </c>
      <c r="D13" s="20">
        <f>D9+D10+D11+D12</f>
        <v>16640576006.104492</v>
      </c>
      <c r="E13" s="20">
        <f>E9+E10+E11+E12</f>
        <v>16397057553.522646</v>
      </c>
      <c r="F13" s="20">
        <f>F9+F10+F11+F12</f>
        <v>16265877949.654854</v>
      </c>
      <c r="G13" s="20">
        <f>G9+G10+G11+G12</f>
        <v>16243651702.328323</v>
      </c>
      <c r="H13" s="20">
        <f>H9+H10+H11+H12</f>
        <v>16329211215.82949</v>
      </c>
      <c r="I13" s="20">
        <f>I9+I10+I11+I12</f>
        <v>16523543308.751772</v>
      </c>
      <c r="J13" s="20">
        <f>J9+J10+J11+J12</f>
        <v>16829798121.3075</v>
      </c>
      <c r="K13" s="20">
        <f>K9+K10+K11+K12</f>
        <v>17253369705.166756</v>
      </c>
    </row>
    <row r="14" spans="1:11" x14ac:dyDescent="0.25">
      <c r="A14" t="s">
        <v>57</v>
      </c>
      <c r="B14" s="21">
        <f>1/(1+Assumptions!$B$26)^(1-0.5*Assumptions!$B$32)</f>
        <v>0.9705265661181951</v>
      </c>
      <c r="C14" s="21">
        <f>1/(1+Assumptions!$B$26)^(2-0.5*Assumptions!$B$32)</f>
        <v>0.9141601451889927</v>
      </c>
      <c r="D14" s="21">
        <f>1/(1+Assumptions!$B$26)^(3-0.5*Assumptions!$B$32)</f>
        <v>0.8610673836518002</v>
      </c>
      <c r="E14" s="21">
        <f>1/(1+Assumptions!$B$26)^(4-0.5*Assumptions!$B$32)</f>
        <v>0.8110581533125933</v>
      </c>
      <c r="F14" s="21">
        <f>1/(1+Assumptions!$B$26)^(5-0.5*Assumptions!$B$32)</f>
        <v>0.7639533682776708</v>
      </c>
      <c r="G14" s="21">
        <f>1/(1+Assumptions!$B$26)^(6-0.5*Assumptions!$B$32)</f>
        <v>0.7195843436368997</v>
      </c>
      <c r="H14" s="21">
        <f>1/(1+Assumptions!$B$26)^(7-0.5*Assumptions!$B$32)</f>
        <v>0.6777921913934735</v>
      </c>
      <c r="I14" s="21">
        <f>1/(1+Assumptions!$B$26)^(8-0.5*Assumptions!$B$32)</f>
        <v>0.6384272514769723</v>
      </c>
      <c r="J14" s="21">
        <f>1/(1+Assumptions!$B$26)^(9-0.5*Assumptions!$B$32)</f>
        <v>0.6013485558021522</v>
      </c>
      <c r="K14" s="21">
        <f>1/(1+Assumptions!$B$26)^(10-0.5*Assumptions!$B$32)</f>
        <v>0.5664233234542269</v>
      </c>
    </row>
    <row r="15" spans="1:11" x14ac:dyDescent="0.25">
      <c r="A15" s="19" t="s">
        <v>58</v>
      </c>
      <c r="B15" s="20">
        <f>B13*B14</f>
        <v>16969249010.844667</v>
      </c>
      <c r="C15" s="20">
        <f>C13*C14</f>
        <v>15542712343.115389</v>
      </c>
      <c r="D15" s="20">
        <f>D13*D14</f>
        <v>14328657244.035318</v>
      </c>
      <c r="E15" s="20">
        <f>E13*E14</f>
        <v>13298967219.120386</v>
      </c>
      <c r="F15" s="20">
        <f>F13*F14</f>
        <v>12426372247.632318</v>
      </c>
      <c r="G15" s="20">
        <f>G13*G14</f>
        <v>11688677448.486336</v>
      </c>
      <c r="H15" s="20">
        <f>H13*H14</f>
        <v>11067811853.703957</v>
      </c>
      <c r="I15" s="20">
        <f>I13*I14</f>
        <v>10549080339.26711</v>
      </c>
      <c r="J15" s="20">
        <f>J13*J14</f>
        <v>10120574794.69004</v>
      </c>
      <c r="K15" s="20">
        <f>K13*K14</f>
        <v>9772711009.185028</v>
      </c>
    </row>
    <row r="17" spans="1:2" x14ac:dyDescent="0.25">
      <c r="A17" s="22" t="s">
        <v>59</v>
      </c>
      <c r="B17" s="23">
        <f>SUM(B15:K15)</f>
        <v>125764813510.08054</v>
      </c>
    </row>
    <row r="19" spans="1:11" x14ac:dyDescent="0.25">
      <c r="A19" t="s">
        <v>7</v>
      </c>
      <c r="B19" s="9">
        <f>Assumptions!$B$10+($B$20-Assumptions!$B$10)*0/9</f>
        <v>0.11998810025936689</v>
      </c>
      <c r="C19" s="9">
        <f>Assumptions!$B$10+($B$20-Assumptions!$B$10)*1/9</f>
        <v>0.11986823697656634</v>
      </c>
      <c r="D19" s="9">
        <f>Assumptions!$B$10+($B$20-Assumptions!$B$10)*2/9</f>
        <v>0.1197483736937658</v>
      </c>
      <c r="E19" s="9">
        <f>Assumptions!$B$10+($B$20-Assumptions!$B$10)*3/9</f>
        <v>0.11962851041096524</v>
      </c>
      <c r="F19" s="9">
        <f>Assumptions!$B$10+($B$20-Assumptions!$B$10)*4/9</f>
        <v>0.1195086471281647</v>
      </c>
      <c r="G19" s="9">
        <f>Assumptions!$B$10+($B$20-Assumptions!$B$10)*5/9</f>
        <v>0.11938878384536415</v>
      </c>
      <c r="H19" s="9">
        <f>Assumptions!$B$10+($B$20-Assumptions!$B$10)*6/9</f>
        <v>0.11926892056256361</v>
      </c>
      <c r="I19" s="9">
        <f>Assumptions!$B$10+($B$20-Assumptions!$B$10)*7/9</f>
        <v>0.11914905727976305</v>
      </c>
      <c r="J19" s="9">
        <f>Assumptions!$B$10+($B$20-Assumptions!$B$10)*8/9</f>
        <v>0.1190291939969625</v>
      </c>
      <c r="K19" s="9">
        <f>Assumptions!$B$10+($B$20-Assumptions!$B$10)*9/9</f>
        <v>0.11890933071416196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0.11890933071416196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17253369705.166756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21542551399.96435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0.25193772981039836</v>
      </c>
    </row>
    <row r="7" spans="1:2" x14ac:dyDescent="0.25">
      <c r="A7" t="s">
        <v>66</v>
      </c>
      <c r="B7" s="18">
        <f>-MAX(B5,0)*B6</f>
        <v>-5427381494.030838</v>
      </c>
    </row>
    <row r="8" spans="1:2" x14ac:dyDescent="0.25">
      <c r="A8" t="s">
        <v>67</v>
      </c>
      <c r="B8" s="18">
        <f>IF(OR(Assumptions!$B$33=0,Assumptions!B12&lt;=0),B5,MAX(B5+B7,0))</f>
        <v>16115169905.933514</v>
      </c>
    </row>
    <row r="9" spans="1:2" x14ac:dyDescent="0.25">
      <c r="A9" t="s">
        <v>68</v>
      </c>
      <c r="B9" s="18">
        <f>B8*(1+Assumptions!B12)/(Assumptions!B26-Assumptions!B12)</f>
        <v>450583497977.41113</v>
      </c>
    </row>
    <row r="10" spans="1:2" x14ac:dyDescent="0.25">
      <c r="A10" t="s">
        <v>69</v>
      </c>
      <c r="B10" s="18">
        <f>B9/(1+Assumptions!B26)^(10-0.5*Assumptions!B32)</f>
        <v>255221002417.99612</v>
      </c>
    </row>
    <row r="11" spans="1:2" x14ac:dyDescent="0.25">
      <c r="A11" t="s">
        <v>70</v>
      </c>
      <c r="B11" s="18">
        <f>Forecast!B17+B10</f>
        <v>380985815928.07666</v>
      </c>
    </row>
    <row r="12" spans="1:2" x14ac:dyDescent="0.25">
      <c r="A12" t="s">
        <v>71</v>
      </c>
      <c r="B12" s="18">
        <f>-Assumptions!B30</f>
        <v>-89456000000</v>
      </c>
    </row>
    <row r="13" spans="1:2" x14ac:dyDescent="0.25">
      <c r="A13" t="s">
        <v>72</v>
      </c>
      <c r="B13" s="18">
        <f>B11+B12</f>
        <v>291529815928.07666</v>
      </c>
    </row>
    <row r="14" spans="1:2" x14ac:dyDescent="0.25">
      <c r="A14" s="19" t="s">
        <v>73</v>
      </c>
      <c r="B14" s="24">
        <f>B13/Assumptions!B31</f>
        <v>78.60065136912286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35875987983.91499</v>
      </c>
    </row>
    <row r="18" spans="1:2" x14ac:dyDescent="0.25">
      <c r="A18" t="s">
        <v>68</v>
      </c>
      <c r="B18" s="18">
        <f>B17*Assumptions!B13</f>
        <v>167230318842.58707</v>
      </c>
    </row>
    <row r="19" spans="1:2" x14ac:dyDescent="0.25">
      <c r="A19" t="s">
        <v>69</v>
      </c>
      <c r="B19" s="18">
        <f>B18/(1+Assumptions!B26)^(10-0.5*Assumptions!B32)</f>
        <v>94723152981.12819</v>
      </c>
    </row>
    <row r="20" spans="1:2" x14ac:dyDescent="0.25">
      <c r="A20" t="s">
        <v>70</v>
      </c>
      <c r="B20" s="18">
        <f>Forecast!B17+B19</f>
        <v>220487966491.20874</v>
      </c>
    </row>
    <row r="21" spans="1:2" x14ac:dyDescent="0.25">
      <c r="A21" t="s">
        <v>71</v>
      </c>
      <c r="B21" s="18">
        <f>-Assumptions!B30</f>
        <v>-89456000000</v>
      </c>
    </row>
    <row r="22" spans="1:2" x14ac:dyDescent="0.25">
      <c r="A22" t="s">
        <v>72</v>
      </c>
      <c r="B22" s="18">
        <f>B20+B21</f>
        <v>131031966491.20874</v>
      </c>
    </row>
    <row r="23" spans="1:2" x14ac:dyDescent="0.25">
      <c r="A23" s="19" t="s">
        <v>73</v>
      </c>
      <c r="B23" s="25">
        <f>B22/Assumptions!B31</f>
        <v>35.32811175281983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23.22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78.60065136912286</v>
      </c>
    </row>
    <row r="29" spans="1:2" x14ac:dyDescent="0.25">
      <c r="A29" s="19" t="s">
        <v>81</v>
      </c>
      <c r="B29" s="11">
        <f>B28/B26-1</f>
        <v>2.3850409719691155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0.041659</v>
      </c>
      <c r="B5" s="31">
        <v>142.38736416844716</v>
      </c>
      <c r="C5" s="31">
        <v>162.14034427393256</v>
      </c>
      <c r="D5" s="31">
        <v>194.27488278700093</v>
      </c>
      <c r="E5" s="31">
        <v>254.72059426411036</v>
      </c>
      <c r="F5" s="31">
        <v>407.2509573748234</v>
      </c>
    </row>
    <row r="6" spans="1:6" x14ac:dyDescent="0.25">
      <c r="A6" s="30">
        <v>0.051659</v>
      </c>
      <c r="B6" s="31">
        <v>97.87958799961905</v>
      </c>
      <c r="C6" s="31">
        <v>104.8727914853106</v>
      </c>
      <c r="D6" s="31">
        <v>114.79860999750997</v>
      </c>
      <c r="E6" s="31">
        <v>129.68803413585803</v>
      </c>
      <c r="F6" s="31">
        <v>154.01036484232176</v>
      </c>
    </row>
    <row r="7" spans="1:6" x14ac:dyDescent="0.25">
      <c r="A7" s="30">
        <v>0.061659</v>
      </c>
      <c r="B7" s="31">
        <v>72.42906116828081</v>
      </c>
      <c r="C7" s="31">
        <v>75.05119500160662</v>
      </c>
      <c r="D7" s="32">
        <v>78.60128732016007</v>
      </c>
      <c r="E7" s="31">
        <v>83.51900385180414</v>
      </c>
      <c r="F7" s="31">
        <v>90.5738544504853</v>
      </c>
    </row>
    <row r="8" spans="1:6" x14ac:dyDescent="0.25">
      <c r="A8" s="30">
        <v>0.071659</v>
      </c>
      <c r="B8" s="31">
        <v>55.9469608831938</v>
      </c>
      <c r="C8" s="31">
        <v>56.740193887219064</v>
      </c>
      <c r="D8" s="31">
        <v>57.86152079980449</v>
      </c>
      <c r="E8" s="31">
        <v>59.429077164971936</v>
      </c>
      <c r="F8" s="31">
        <v>61.625449572337274</v>
      </c>
    </row>
    <row r="9" spans="1:6" x14ac:dyDescent="0.25">
      <c r="A9" s="30">
        <v>0.081659</v>
      </c>
      <c r="B9" s="31">
        <v>44.398285190461614</v>
      </c>
      <c r="C9" s="31">
        <v>44.341865346980796</v>
      </c>
      <c r="D9" s="31">
        <v>44.39876096609819</v>
      </c>
      <c r="E9" s="31">
        <v>44.601874967711154</v>
      </c>
      <c r="F9" s="31">
        <v>44.99821384011625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123707000000</v>
      </c>
      <c r="C5" s="18">
        <v>123731000000</v>
      </c>
      <c r="D5" s="18">
        <v>121572000000</v>
      </c>
      <c r="E5" s="18">
        <v>121427000000</v>
      </c>
      <c r="F5" s="6" t="s">
        <v>91</v>
      </c>
    </row>
    <row r="6" spans="1:6" x14ac:dyDescent="0.25">
      <c r="A6" t="s">
        <v>51</v>
      </c>
      <c r="B6" s="18">
        <v>20670000000</v>
      </c>
      <c r="C6" s="18">
        <v>23298000000</v>
      </c>
      <c r="D6" s="18">
        <v>23313000000</v>
      </c>
      <c r="E6" s="18">
        <v>22624000000</v>
      </c>
      <c r="F6" s="6" t="s">
        <v>92</v>
      </c>
    </row>
    <row r="7" spans="1:6" x14ac:dyDescent="0.25">
      <c r="A7" t="s">
        <v>93</v>
      </c>
      <c r="B7" s="18">
        <v>16210000000</v>
      </c>
      <c r="C7" s="18">
        <v>14802000000</v>
      </c>
      <c r="D7" s="18">
        <v>14336000000</v>
      </c>
      <c r="E7" s="18">
        <v>13821000000</v>
      </c>
      <c r="F7" s="6" t="s">
        <v>94</v>
      </c>
    </row>
    <row r="8" spans="1:6" x14ac:dyDescent="0.25">
      <c r="A8" t="s">
        <v>95</v>
      </c>
      <c r="B8" s="18">
        <v>14408000000</v>
      </c>
      <c r="C8" s="18">
        <v>15130000000</v>
      </c>
      <c r="D8" s="18">
        <v>15540000000</v>
      </c>
      <c r="E8" s="18">
        <v>13767000000</v>
      </c>
      <c r="F8" s="6" t="s">
        <v>96</v>
      </c>
    </row>
    <row r="9" spans="1:6" x14ac:dyDescent="0.25">
      <c r="A9" t="s">
        <v>97</v>
      </c>
      <c r="B9" s="18">
        <v>-2177000000</v>
      </c>
      <c r="C9" s="18">
        <v>4943000000</v>
      </c>
      <c r="D9" s="18">
        <v>-1008000000</v>
      </c>
      <c r="E9" s="18">
        <v>2904000000</v>
      </c>
      <c r="F9" s="6" t="s">
        <v>98</v>
      </c>
    </row>
    <row r="10" spans="1:6" x14ac:dyDescent="0.25">
      <c r="A10" t="s">
        <v>99</v>
      </c>
      <c r="B10" s="18">
        <v>98937000000</v>
      </c>
      <c r="C10" s="18">
        <v>99093000000</v>
      </c>
      <c r="D10" s="18">
        <v>97090000000</v>
      </c>
      <c r="E10" s="18">
        <v>99983000000</v>
      </c>
      <c r="F10" s="6" t="s">
        <v>100</v>
      </c>
    </row>
    <row r="11" spans="1:6" x14ac:dyDescent="0.25">
      <c r="A11" t="s">
        <v>101</v>
      </c>
      <c r="B11" s="18">
        <v>9481000000</v>
      </c>
      <c r="C11" s="18">
        <v>7322000000</v>
      </c>
      <c r="D11" s="18">
        <v>6215000000</v>
      </c>
      <c r="E11" s="18">
        <v>4749000000</v>
      </c>
      <c r="F11" s="6" t="s">
        <v>102</v>
      </c>
    </row>
    <row r="12" spans="1:6" x14ac:dyDescent="0.25">
      <c r="A12" t="s">
        <v>34</v>
      </c>
      <c r="B12" s="34">
        <v>3709000000</v>
      </c>
      <c r="C12" s="34">
        <v>3908000000</v>
      </c>
      <c r="D12" s="34">
        <v>4148000000</v>
      </c>
      <c r="E12" s="34">
        <v>4430000000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