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<sst xmlns="http://schemas.openxmlformats.org/spreadsheetml/2006/main" count="113" uniqueCount="101">
  <si>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CME Group Inc. (CME)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</si>
  <si>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</si>
  <si>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</si>
  <si>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</si>
  <si>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</si>
  <si>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</si>
  <si>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</si>
  <si>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</si>
  <si>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</si>
  <si>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</si>
  <si>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</si>
  <si>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</si>
  <si>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</si>
  <si>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</si>
  <si>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</si>
  <si>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</si>
  <si>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</si>
  <si>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</si>
  <si>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</si>
  <si>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</si>
  <si>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</si>
  <si>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</si>
  <si>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</si>
  <si>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</si>
  <si>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</si>
  <si>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</si>
  <si>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</si>
  <si>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</si>
  <si>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</si>
  <si>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</si>
  <si>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</si>
  <si>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</si>
  <si>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</si>
  <si>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</si>
  <si>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</si>
  <si>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</si>
  <si>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</si>
  <si>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</si>
  <si>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</si>
  <si>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</si>
  <si>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</si>
  <si>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</si>
  <si>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</si>
  <si>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</si>
  <si>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</si>
  <si>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</si>
  <si>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</si>
  <si>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</si>
  <si>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</si>
  <si>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</si>
  <si>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</si>
  <si>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</si>
  <si>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</si>
  <si>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</si>
  <si>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</si>
  <si>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</si>
  <si>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</si>
  <si>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</si>
  <si>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</si>
  <si>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</si>
  <si>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</si>
  <si>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</si>
  <si>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</si>
  <si>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</si>
  <si>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</si>
  <si>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</si>
  <si>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</si>
  <si>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</si>
  <si>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</si>
  <si>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</si>
  <si>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</si>
  <si>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</si>
  <si>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</si>
  <si>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</si>
  <si>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</si>
  <si>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</si>
  <si>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</si>
  <si>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</si>
  <si>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</si>
  <si>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</si>
  <si>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</si>
  <si>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</si>
  <si>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</si>
  <si>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</si>
  <si>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</si>
  <si>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</si>
  <si>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</si>
  <si>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</si>
  <si>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</si>
  <si>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</si>
  <si>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</si>
  <si>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</si>
  <si>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</si>
  <si>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</si>
  <si>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</si>
  <si>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</si>
  <si>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</si>
  <si>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</si>
  <si>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</si>
  <si>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21.5x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</si>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</sst>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0.09113524548501961</v>
      </c>
    </row>
    <row r="7" spans="1:2" x14ac:dyDescent="0.25">
      <c r="A7" t="s">
        <v>5</v>
      </c>
      <c r="B7" s="6">
        <v>0.6266667793985877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0.06028275114979073</v>
      </c>
    </row>
    <row r="10" spans="1:2" x14ac:dyDescent="0.25">
      <c r="A10" t="s">
        <v>8</v>
      </c>
      <c r="B10" s="6">
        <v>0.01492621462482287</v>
      </c>
    </row>
    <row r="11" spans="1:2" x14ac:dyDescent="0.25">
      <c r="A11" t="s">
        <v>9</v>
      </c>
      <c r="B11" s="6">
        <v>0.17015192135835566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0.09690381830083945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0.51425</v>
      </c>
      <c r="C19" s="8" t="s">
        <v>19</v>
      </c>
    </row>
    <row r="20" spans="1:2" x14ac:dyDescent="0.25">
      <c r="A20" t="s">
        <v>20</v>
      </c>
      <c r="B20" s="10">
        <f>B17+B19*B18</f>
        <v>0.07826375</v>
      </c>
    </row>
    <row r="21" spans="1:3" x14ac:dyDescent="0.25">
      <c r="A21" t="s">
        <v>21</v>
      </c>
      <c r="B21" s="6">
        <v>0.050625520050216775</v>
      </c>
      <c r="C21" s="8" t="s">
        <v>22</v>
      </c>
    </row>
    <row r="22" spans="1:2" x14ac:dyDescent="0.25">
      <c r="A22" t="s">
        <v>23</v>
      </c>
      <c r="B22" s="11">
        <v>99247472640</v>
      </c>
    </row>
    <row r="23" spans="1:2" x14ac:dyDescent="0.25">
      <c r="A23" t="s">
        <v>24</v>
      </c>
      <c r="B23" s="11">
        <v>3422300000</v>
      </c>
    </row>
    <row r="24" spans="1:2" x14ac:dyDescent="0.25">
      <c r="A24" t="s">
        <v>25</v>
      </c>
      <c r="B24" s="10">
        <f>B22/(B22+B23)</f>
        <v>0.9666669175162206</v>
      </c>
    </row>
    <row r="25" spans="1:2" x14ac:dyDescent="0.25">
      <c r="A25" t="s">
        <v>26</v>
      </c>
      <c r="B25" s="10">
        <f>1-B24</f>
        <v>0.03333308248377942</v>
      </c>
    </row>
    <row r="26" spans="1:2" x14ac:dyDescent="0.25">
      <c r="A26" t="s">
        <v>27</v>
      </c>
      <c r="B26" s="12">
        <f>B24*B20+B25*B21*(1-B8)</f>
        <v>0.07698810662789841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6520600000</v>
      </c>
      <c r="C29" s="8" t="s">
        <v>30</v>
      </c>
    </row>
    <row r="30" spans="1:2" x14ac:dyDescent="0.25">
      <c r="A30" t="s">
        <v>31</v>
      </c>
      <c r="B30" s="11">
        <v>-1119600000</v>
      </c>
    </row>
    <row r="31" spans="1:2" x14ac:dyDescent="0.25">
      <c r="A31" t="s">
        <v>32</v>
      </c>
      <c r="B31" s="13">
        <v>360310000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0.09113524548501961</v>
      </c>
      <c r="C5" s="10">
        <f>Assumptions!B6</f>
        <v>0.09113524548501961</v>
      </c>
      <c r="D5" s="10">
        <f>Assumptions!B6</f>
        <v>0.09113524548501961</v>
      </c>
      <c r="E5" s="10">
        <f>Assumptions!B6</f>
        <v>0.09113524548501961</v>
      </c>
      <c r="F5" s="10">
        <f>Assumptions!B6</f>
        <v>0.09113524548501961</v>
      </c>
    </row>
    <row r="6" spans="1:6" x14ac:dyDescent="0.25">
      <c r="A6" t="s">
        <v>43</v>
      </c>
      <c r="B6" s="18">
        <f>Assumptions!B29*(1+B5)</f>
        <v>7114856481.709619</v>
      </c>
      <c r="C6" s="18">
        <f>B6*(1+C5)</f>
        <v>7763270673.760907</v>
      </c>
      <c r="D6" s="18">
        <f>C6*(1+D5)</f>
        <v>8470778252.380761</v>
      </c>
      <c r="E6" s="18">
        <f>D6*(1+E5)</f>
        <v>9242764707.860647</v>
      </c>
      <c r="F6" s="18">
        <f>E6*(1+F5)</f>
        <v>10085106338.471804</v>
      </c>
    </row>
    <row r="7" spans="1:6" x14ac:dyDescent="0.25">
      <c r="A7" t="s">
        <v>5</v>
      </c>
      <c r="B7" s="10">
        <f>Assumptions!B7</f>
        <v>0.6266667793985877</v>
      </c>
      <c r="C7" s="10">
        <f>Assumptions!B7</f>
        <v>0.6266667793985877</v>
      </c>
      <c r="D7" s="10">
        <f>Assumptions!B7</f>
        <v>0.6266667793985877</v>
      </c>
      <c r="E7" s="10">
        <f>Assumptions!B7</f>
        <v>0.6266667793985877</v>
      </c>
      <c r="F7" s="10">
        <f>Assumptions!B7</f>
        <v>0.6266667793985877</v>
      </c>
    </row>
    <row r="8" spans="1:6" x14ac:dyDescent="0.25">
      <c r="A8" t="s">
        <v>44</v>
      </c>
      <c r="B8" s="18">
        <f>B6*B7</f>
        <v>4458644197.276134</v>
      </c>
      <c r="C8" s="18">
        <f>C6*C7</f>
        <v>4864983830.725252</v>
      </c>
      <c r="D8" s="18">
        <f>D6*D7</f>
        <v>5308355326.419049</v>
      </c>
      <c r="E8" s="18">
        <f>E6*E7</f>
        <v>5792133592.213961</v>
      </c>
      <c r="F8" s="18">
        <f>F6*F7</f>
        <v>6320001109.0224085</v>
      </c>
    </row>
    <row r="9" spans="1:6" x14ac:dyDescent="0.25">
      <c r="A9" t="s">
        <v>45</v>
      </c>
      <c r="B9" s="18">
        <f>B8*(1-Assumptions!B8)</f>
        <v>3522328915.8481455</v>
      </c>
      <c r="C9" s="18">
        <f>C8*(1-Assumptions!B8)</f>
        <v>3843337226.272949</v>
      </c>
      <c r="D9" s="18">
        <f>D8*(1-Assumptions!B8)</f>
        <v>4193600707.871049</v>
      </c>
      <c r="E9" s="18">
        <f>E8*(1-Assumptions!B8)</f>
        <v>4575785537.84903</v>
      </c>
      <c r="F9" s="18">
        <f>F8*(1-Assumptions!B8)</f>
        <v>4992800876.127703</v>
      </c>
    </row>
    <row r="10" spans="1:6" x14ac:dyDescent="0.25">
      <c r="A10" t="s">
        <v>46</v>
      </c>
      <c r="B10" s="18">
        <f>B6*Assumptions!B9</f>
        <v>428903122.75337654</v>
      </c>
      <c r="C10" s="18">
        <f>C6*Assumptions!B9</f>
        <v>467991314.134797</v>
      </c>
      <c r="D10" s="18">
        <f>D6*Assumptions!B9</f>
        <v>510641817.4333286</v>
      </c>
      <c r="E10" s="18">
        <f>E6*Assumptions!B9</f>
        <v>557179284.8200316</v>
      </c>
      <c r="F10" s="18">
        <f>F6*Assumptions!B9</f>
        <v>607957955.721273</v>
      </c>
    </row>
    <row r="11" spans="1:6" x14ac:dyDescent="0.25">
      <c r="A11" t="s">
        <v>47</v>
      </c>
      <c r="B11" s="18">
        <f>-B6*Assumptions!B10</f>
        <v>-106197874.8708099</v>
      </c>
      <c r="C11" s="18">
        <f>-C6*Assumptions!B10</f>
        <v>-115876244.26714855</v>
      </c>
      <c r="D11" s="18">
        <f>-D6*Assumptions!B10</f>
        <v>-126436654.23431723</v>
      </c>
      <c r="E11" s="18">
        <f>-E6*Assumptions!B10</f>
        <v>-137959489.75626627</v>
      </c>
      <c r="F11" s="18">
        <f>-F6*Assumptions!B10</f>
        <v>-150532461.72219166</v>
      </c>
    </row>
    <row r="12" spans="1:6" x14ac:dyDescent="0.25">
      <c r="A12" t="s">
        <v>48</v>
      </c>
      <c r="B12" s="18">
        <f>-(B6-Assumptions!B29)*Assumptions!B11</f>
        <v>-101113882.14254814</v>
      </c>
      <c r="C12" s="18">
        <f>-(C6-B6)*Assumptions!B11</f>
        <v>-110328920.61355259</v>
      </c>
      <c r="D12" s="18">
        <f>-(D6-C6)*Assumptions!B11</f>
        <v>-120383773.87776603</v>
      </c>
      <c r="E12" s="18">
        <f>-(E6-D6)*Assumptions!B11</f>
        <v>-131354978.6625293</v>
      </c>
      <c r="F12" s="18">
        <f>-(F6-E6)*Assumptions!B11</f>
        <v>-143326046.88861856</v>
      </c>
    </row>
    <row r="13" spans="1:6" x14ac:dyDescent="0.25">
      <c r="A13" s="19" t="s">
        <v>49</v>
      </c>
      <c r="B13" s="20">
        <f>B9+B10+B11+B12</f>
        <v>3743920281.588164</v>
      </c>
      <c r="C13" s="20">
        <f>C9+C10+C11+C12</f>
        <v>4085123375.5270452</v>
      </c>
      <c r="D13" s="20">
        <f>D9+D10+D11+D12</f>
        <v>4457422097.192295</v>
      </c>
      <c r="E13" s="20">
        <f>E9+E10+E11+E12</f>
        <v>4863650354.250266</v>
      </c>
      <c r="F13" s="20">
        <f>F9+F10+F11+F12</f>
        <v>5306900323.238166</v>
      </c>
    </row>
    <row r="14" spans="1:6" x14ac:dyDescent="0.25">
      <c r="A14" t="s">
        <v>50</v>
      </c>
      <c r="B14" s="21">
        <f>1/(1+Assumptions!$B$26)^(1-0.5*Assumptions!$B$32)</f>
        <v>0.9635950188880649</v>
      </c>
      <c r="C14" s="21">
        <f>1/(1+Assumptions!$B$26)^(2-0.5*Assumptions!$B$32)</f>
        <v>0.8947127762674439</v>
      </c>
      <c r="D14" s="21">
        <f>1/(1+Assumptions!$B$26)^(3-0.5*Assumptions!$B$32)</f>
        <v>0.8307545559336145</v>
      </c>
      <c r="E14" s="21">
        <f>1/(1+Assumptions!$B$26)^(4-0.5*Assumptions!$B$32)</f>
        <v>0.7713683659281503</v>
      </c>
      <c r="F14" s="21">
        <f>1/(1+Assumptions!$B$26)^(5-0.5*Assumptions!$B$32)</f>
        <v>0.7162273763109064</v>
      </c>
    </row>
    <row r="15" spans="1:6" x14ac:dyDescent="0.25">
      <c r="A15" s="19" t="s">
        <v>51</v>
      </c>
      <c r="B15" s="20">
        <f>B13*B14</f>
        <v>3607622934.452356</v>
      </c>
      <c r="C15" s="20">
        <f>C13*C14</f>
        <v>3655012076.712835</v>
      </c>
      <c r="D15" s="20">
        <f>D13*D14</f>
        <v>3703023714.9616656</v>
      </c>
      <c r="E15" s="20">
        <f>E13*E14</f>
        <v>3751666026.203897</v>
      </c>
      <c r="F15" s="20">
        <f>F13*F14</f>
        <v>3800947294.8563724</v>
      </c>
    </row>
    <row r="17" spans="1:2" x14ac:dyDescent="0.25">
      <c r="A17" s="22" t="s">
        <v>52</v>
      </c>
      <c r="B17" s="23">
        <f>SUM(B15:F15)</f>
        <v>18518272047.187126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5306900323.238166</v>
      </c>
    </row>
    <row r="5" spans="1:2" x14ac:dyDescent="0.25">
      <c r="A5" t="s">
        <v>56</v>
      </c>
      <c r="B5" s="18">
        <f>IF(Assumptions!$B$33=0,B4,B4-Forecast!F11-Forecast!F10-Forecast!F12)</f>
        <v>5304335200.94067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0.2579877701246725</v>
      </c>
    </row>
    <row r="7" spans="1:2" x14ac:dyDescent="0.25">
      <c r="A7" t="s">
        <v>58</v>
      </c>
      <c r="B7" s="18">
        <f>-MAX(Forecast!F9,0)*B6</f>
        <v>-1368453610.4844902</v>
      </c>
    </row>
    <row r="8" spans="1:2" x14ac:dyDescent="0.25">
      <c r="A8" t="s">
        <v>59</v>
      </c>
      <c r="B8" s="18">
        <f>IF(OR(Assumptions!$B$33=0,Assumptions!B12&lt;=0),B5,MAX(B5+B7,0))</f>
        <v>3935881590.4561796</v>
      </c>
    </row>
    <row r="9" spans="1:2" x14ac:dyDescent="0.25">
      <c r="A9" t="s">
        <v>60</v>
      </c>
      <c r="B9" s="18">
        <f>B8*(1+Assumptions!B12)/(Assumptions!B26-Assumptions!B12)</f>
        <v>77600029927.85788</v>
      </c>
    </row>
    <row r="10" spans="1:2" x14ac:dyDescent="0.25">
      <c r="A10" t="s">
        <v>61</v>
      </c>
      <c r="B10" s="18">
        <f>B9/(1+Assumptions!B26)^(5-0.5*Assumptions!B32)</f>
        <v>55579265836.877464</v>
      </c>
    </row>
    <row r="11" spans="1:2" x14ac:dyDescent="0.25">
      <c r="A11" t="s">
        <v>62</v>
      </c>
      <c r="B11" s="18">
        <f>Forecast!B17+B10</f>
        <v>74097537884.06459</v>
      </c>
    </row>
    <row r="12" spans="1:2" x14ac:dyDescent="0.25">
      <c r="A12" t="s">
        <v>63</v>
      </c>
      <c r="B12" s="18">
        <f>-Assumptions!B30</f>
        <v>1119600000</v>
      </c>
    </row>
    <row r="13" spans="1:2" x14ac:dyDescent="0.25">
      <c r="A13" t="s">
        <v>64</v>
      </c>
      <c r="B13" s="18">
        <f>B11+B12</f>
        <v>75217137884.06459</v>
      </c>
    </row>
    <row r="14" spans="1:2" x14ac:dyDescent="0.25">
      <c r="A14" s="19" t="s">
        <v>65</v>
      </c>
      <c r="B14" s="24">
        <f>B13/Assumptions!B31</f>
        <v>208.7567313814898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6927959064.743681</v>
      </c>
    </row>
    <row r="18" spans="1:2" x14ac:dyDescent="0.25">
      <c r="A18" t="s">
        <v>60</v>
      </c>
      <c r="B18" s="18">
        <f>B17*Assumptions!B13</f>
        <v>138559181294.87363</v>
      </c>
    </row>
    <row r="19" spans="1:2" x14ac:dyDescent="0.25">
      <c r="A19" t="s">
        <v>61</v>
      </c>
      <c r="B19" s="18">
        <f>B18/(1+Assumptions!B26)^(5-0.5*Assumptions!B32)</f>
        <v>99239878882.61455</v>
      </c>
    </row>
    <row r="20" spans="1:2" x14ac:dyDescent="0.25">
      <c r="A20" t="s">
        <v>62</v>
      </c>
      <c r="B20" s="18">
        <f>Forecast!B17+B19</f>
        <v>117758150929.80167</v>
      </c>
    </row>
    <row r="21" spans="1:2" x14ac:dyDescent="0.25">
      <c r="A21" t="s">
        <v>63</v>
      </c>
      <c r="B21" s="18">
        <f>-Assumptions!B30</f>
        <v>1119600000</v>
      </c>
    </row>
    <row r="22" spans="1:2" x14ac:dyDescent="0.25">
      <c r="A22" t="s">
        <v>64</v>
      </c>
      <c r="B22" s="18">
        <f>B20+B21</f>
        <v>118877750929.80167</v>
      </c>
    </row>
    <row r="23" spans="1:2" x14ac:dyDescent="0.25">
      <c r="A23" s="19" t="s">
        <v>65</v>
      </c>
      <c r="B23" s="25">
        <f>B22/Assumptions!B31</f>
        <v>329.9318668085861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276.01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208.7567313814898</v>
      </c>
    </row>
    <row r="29" spans="1:2" x14ac:dyDescent="0.25">
      <c r="A29" s="19" t="s">
        <v>73</v>
      </c>
      <c r="B29" s="12">
        <f>B28/B26-1</f>
        <v>-0.24366243476145866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0.056988</v>
      </c>
      <c r="B5" s="31">
        <v>291.40622688309503</v>
      </c>
      <c r="C5" s="31">
        <v>308.07858076320997</v>
      </c>
      <c r="D5" s="31">
        <v>329.7779530244658</v>
      </c>
      <c r="E5" s="31">
        <v>359.29837344739883</v>
      </c>
      <c r="F5" s="31">
        <v>401.9752851111958</v>
      </c>
    </row>
    <row r="6" spans="1:6" x14ac:dyDescent="0.25">
      <c r="A6" s="30">
        <v>0.066988</v>
      </c>
      <c r="B6" s="31">
        <v>237.18529508962425</v>
      </c>
      <c r="C6" s="31">
        <v>245.1663848187534</v>
      </c>
      <c r="D6" s="31">
        <v>254.91315055155104</v>
      </c>
      <c r="E6" s="31">
        <v>267.14163911550264</v>
      </c>
      <c r="F6" s="31">
        <v>283.01559449170435</v>
      </c>
    </row>
    <row r="7" spans="1:6" x14ac:dyDescent="0.25">
      <c r="A7" s="30">
        <v>0.076988</v>
      </c>
      <c r="B7" s="31">
        <v>200.42696200230048</v>
      </c>
      <c r="C7" s="31">
        <v>204.27434381899144</v>
      </c>
      <c r="D7" s="32">
        <v>208.7571293361275</v>
      </c>
      <c r="E7" s="31">
        <v>214.07815875773284</v>
      </c>
      <c r="F7" s="31">
        <v>220.53689046636984</v>
      </c>
    </row>
    <row r="8" spans="1:6" x14ac:dyDescent="0.25">
      <c r="A8" s="30">
        <v>0.086988</v>
      </c>
      <c r="B8" s="31">
        <v>173.8557875916802</v>
      </c>
      <c r="C8" s="31">
        <v>175.5441262515199</v>
      </c>
      <c r="D8" s="31">
        <v>177.42063948994414</v>
      </c>
      <c r="E8" s="31">
        <v>179.53485736027588</v>
      </c>
      <c r="F8" s="31">
        <v>181.9553643335202</v>
      </c>
    </row>
    <row r="9" spans="1:6" x14ac:dyDescent="0.25">
      <c r="A9" s="30">
        <v>0.096988</v>
      </c>
      <c r="B9" s="31">
        <v>153.76186800317717</v>
      </c>
      <c r="C9" s="31">
        <v>154.26224599533762</v>
      </c>
      <c r="D9" s="31">
        <v>154.76262398749805</v>
      </c>
      <c r="E9" s="31">
        <v>155.2630019796585</v>
      </c>
      <c r="F9" s="31">
        <v>155.76337997181892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6520600000</v>
      </c>
      <c r="C5" s="18">
        <v>6130100000</v>
      </c>
      <c r="D5" s="18">
        <v>5578900000</v>
      </c>
      <c r="E5" s="18">
        <v>5019400000</v>
      </c>
      <c r="F5" s="8" t="s">
        <v>84</v>
      </c>
    </row>
    <row r="6" spans="1:6" x14ac:dyDescent="0.25">
      <c r="A6" t="s">
        <v>44</v>
      </c>
      <c r="B6" s="18">
        <v>4229500000</v>
      </c>
      <c r="C6" s="18">
        <v>3931500000</v>
      </c>
      <c r="D6" s="18">
        <v>3435700000</v>
      </c>
      <c r="E6" s="18">
        <v>3015900000</v>
      </c>
      <c r="F6" s="8" t="s">
        <v>85</v>
      </c>
    </row>
    <row r="7" spans="1:6" x14ac:dyDescent="0.25">
      <c r="A7" t="s">
        <v>86</v>
      </c>
      <c r="B7" s="18">
        <v>330900000</v>
      </c>
      <c r="C7" s="18">
        <v>336800000</v>
      </c>
      <c r="D7" s="18">
        <v>352600000</v>
      </c>
      <c r="E7" s="18">
        <v>362600000</v>
      </c>
      <c r="F7" s="8" t="s">
        <v>87</v>
      </c>
    </row>
    <row r="8" spans="1:6" x14ac:dyDescent="0.25">
      <c r="A8" t="s">
        <v>88</v>
      </c>
      <c r="B8" s="18">
        <v>83500000</v>
      </c>
      <c r="C8" s="18">
        <v>94000000</v>
      </c>
      <c r="D8" s="18">
        <v>76400000</v>
      </c>
      <c r="E8" s="18">
        <v>89700000</v>
      </c>
      <c r="F8" s="8" t="s">
        <v>89</v>
      </c>
    </row>
    <row r="9" spans="1:6" x14ac:dyDescent="0.25">
      <c r="A9" t="s">
        <v>90</v>
      </c>
      <c r="B9" s="18">
        <v>-99700000</v>
      </c>
      <c r="C9" s="18">
        <v>188600000</v>
      </c>
      <c r="D9" s="18">
        <v>95200000</v>
      </c>
      <c r="E9" s="18">
        <v>95200000</v>
      </c>
      <c r="F9" s="8" t="s">
        <v>91</v>
      </c>
    </row>
    <row r="10" spans="1:6" x14ac:dyDescent="0.25">
      <c r="A10" t="s">
        <v>92</v>
      </c>
      <c r="B10" s="18">
        <v>3422300000</v>
      </c>
      <c r="C10" s="18">
        <v>3428000000</v>
      </c>
      <c r="D10" s="18">
        <v>3425400000</v>
      </c>
      <c r="E10" s="18">
        <v>3438400000</v>
      </c>
      <c r="F10" s="8" t="s">
        <v>93</v>
      </c>
    </row>
    <row r="11" spans="1:6" x14ac:dyDescent="0.25">
      <c r="A11" t="s">
        <v>94</v>
      </c>
      <c r="B11" s="18">
        <v>4541900000</v>
      </c>
      <c r="C11" s="18">
        <v>3005600000</v>
      </c>
      <c r="D11" s="18">
        <v>3023700000</v>
      </c>
      <c r="E11" s="18">
        <v>2816100000</v>
      </c>
      <c r="F11" s="8" t="s">
        <v>95</v>
      </c>
    </row>
    <row r="12" spans="1:6" x14ac:dyDescent="0.25">
      <c r="A12" t="s">
        <v>32</v>
      </c>
      <c r="B12" s="34">
        <v>360310000</v>
      </c>
      <c r="C12" s="34">
        <v>359944000</v>
      </c>
      <c r="D12" s="34">
        <v>359500000</v>
      </c>
      <c r="E12" s="34">
        <v>359181000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2026-09-19T00:06:32Z</dcterms:modified>
</cp:coreProperties>
</file>