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<sst xmlns="http://schemas.openxmlformats.org/spreadsheetml/2006/main" count="112" uniqueCount="100">
  <si>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Chipotle Mexican Grill, Inc. (CMG)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</si>
  <si>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</si>
  <si>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</si>
  <si>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</si>
  <si>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</si>
  <si>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</si>
  <si>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</si>
  <si>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</si>
  <si>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</si>
  <si>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</si>
  <si>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</si>
  <si>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</si>
  <si>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</si>
  <si>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</si>
  <si>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</si>
  <si>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</si>
  <si>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</si>
  <si>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</si>
  <si>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</si>
  <si>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</si>
  <si>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</si>
  <si>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</si>
  <si>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</si>
  <si>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</si>
  <si>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</si>
  <si>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</si>
  <si>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</si>
  <si>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</si>
  <si>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</si>
  <si>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</si>
  <si>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</si>
  <si>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</si>
  <si>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</si>
  <si>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</si>
  <si>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</si>
  <si>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</si>
  <si>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</si>
  <si>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</si>
  <si>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</si>
  <si>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</si>
  <si>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</si>
  <si>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</si>
  <si>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</si>
  <si>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</si>
  <si>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</si>
  <si>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</si>
  <si>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</si>
  <si>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</si>
  <si>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</si>
  <si>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</si>
  <si>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</si>
  <si>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</si>
  <si>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</si>
  <si>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</si>
  <si>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</si>
  <si>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</si>
  <si>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</si>
  <si>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</si>
  <si>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</si>
  <si>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</si>
  <si>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</si>
  <si>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</si>
  <si>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</si>
  <si>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</si>
  <si>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</si>
  <si>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</si>
  <si>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</si>
  <si>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</si>
  <si>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</si>
  <si>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</si>
  <si>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</si>
  <si>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</si>
  <si>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</si>
  <si>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</si>
  <si>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</si>
  <si>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</si>
  <si>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</si>
  <si>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</si>
  <si>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</si>
  <si>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</si>
  <si>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</si>
  <si>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</si>
  <si>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</si>
  <si>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</si>
  <si>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</si>
  <si>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</si>
  <si>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</si>
  <si>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</si>
  <si>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</si>
  <si>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</si>
  <si>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</si>
  <si>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</si>
  <si>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</si>
  <si>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</si>
  <si>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</si>
  <si>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</si>
  <si>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</si>
  <si>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</si>
  <si>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5.5% of revenue against depreciation of 3.1%.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</si>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</sst>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0.11364082990765789</v>
      </c>
    </row>
    <row r="7" spans="1:2" x14ac:dyDescent="0.25">
      <c r="A7" t="s">
        <v>5</v>
      </c>
      <c r="B7" s="6">
        <v>0.1624850770699774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0.03137202586017706</v>
      </c>
    </row>
    <row r="10" spans="1:2" x14ac:dyDescent="0.25">
      <c r="A10" t="s">
        <v>8</v>
      </c>
      <c r="B10" s="6">
        <v>0.05515916047152554</v>
      </c>
    </row>
    <row r="11" spans="1:2" x14ac:dyDescent="0.25">
      <c r="A11" t="s">
        <v>9</v>
      </c>
      <c r="B11" s="6">
        <v>-0.0770575838098233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19.515763166385167</v>
      </c>
    </row>
    <row r="14" spans="1:3" x14ac:dyDescent="0.25">
      <c r="A14" t="s">
        <v>12</v>
      </c>
      <c r="B14" s="6">
        <v>0.4251670359137687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0.95779</v>
      </c>
      <c r="C19" s="8" t="s">
        <v>19</v>
      </c>
    </row>
    <row r="20" spans="1:2" x14ac:dyDescent="0.25">
      <c r="A20" t="s">
        <v>20</v>
      </c>
      <c r="B20" s="10">
        <f>B17+B19*B18</f>
        <v>0.10265845000000001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42302922752</v>
      </c>
    </row>
    <row r="23" spans="1:2" x14ac:dyDescent="0.25">
      <c r="A23" t="s">
        <v>24</v>
      </c>
      <c r="B23" s="11">
        <v>5075814000</v>
      </c>
    </row>
    <row r="24" spans="1:2" x14ac:dyDescent="0.25">
      <c r="A24" t="s">
        <v>25</v>
      </c>
      <c r="B24" s="10">
        <f>B22/(B22+B23)</f>
        <v>0.8928672575934449</v>
      </c>
    </row>
    <row r="25" spans="1:2" x14ac:dyDescent="0.25">
      <c r="A25" t="s">
        <v>26</v>
      </c>
      <c r="B25" s="10">
        <f>1-B24</f>
        <v>0.10713274240655513</v>
      </c>
    </row>
    <row r="26" spans="1:2" x14ac:dyDescent="0.25">
      <c r="A26" t="s">
        <v>27</v>
      </c>
      <c r="B26" s="12">
        <f>B24*B20+B25*B21*(1-B8)</f>
        <v>0.09758311667804627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11925601000</v>
      </c>
      <c r="C29" s="8" t="s">
        <v>30</v>
      </c>
    </row>
    <row r="30" spans="1:2" x14ac:dyDescent="0.25">
      <c r="A30" t="s">
        <v>31</v>
      </c>
      <c r="B30" s="11">
        <v>4031207000</v>
      </c>
    </row>
    <row r="31" spans="1:2" x14ac:dyDescent="0.25">
      <c r="A31" t="s">
        <v>32</v>
      </c>
      <c r="B31" s="13">
        <v>1342616000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0.11364082990765789</v>
      </c>
      <c r="C5" s="10">
        <f>Assumptions!B6</f>
        <v>0.11364082990765789</v>
      </c>
      <c r="D5" s="10">
        <f>Assumptions!B6</f>
        <v>0.11364082990765789</v>
      </c>
      <c r="E5" s="10">
        <f>Assumptions!B6</f>
        <v>0.11364082990765789</v>
      </c>
      <c r="F5" s="10">
        <f>Assumptions!B6</f>
        <v>0.11364082990765789</v>
      </c>
    </row>
    <row r="6" spans="1:6" x14ac:dyDescent="0.25">
      <c r="A6" t="s">
        <v>43</v>
      </c>
      <c r="B6" s="18">
        <f>Assumptions!B29*(1+B5)</f>
        <v>13280836194.787596</v>
      </c>
      <c r="C6" s="18">
        <f>B6*(1+C5)</f>
        <v>14790081441.83092</v>
      </c>
      <c r="D6" s="18">
        <f>C6*(1+D5)</f>
        <v>16470838571.282434</v>
      </c>
      <c r="E6" s="18">
        <f>D6*(1+E5)</f>
        <v>18342598335.79803</v>
      </c>
      <c r="F6" s="18">
        <f>E6*(1+F5)</f>
        <v>20427066433.340942</v>
      </c>
    </row>
    <row r="7" spans="1:6" x14ac:dyDescent="0.25">
      <c r="A7" t="s">
        <v>5</v>
      </c>
      <c r="B7" s="10">
        <f>Assumptions!B7</f>
        <v>0.1624850770699774</v>
      </c>
      <c r="C7" s="10">
        <f>Assumptions!B7</f>
        <v>0.1624850770699774</v>
      </c>
      <c r="D7" s="10">
        <f>Assumptions!B7</f>
        <v>0.1624850770699774</v>
      </c>
      <c r="E7" s="10">
        <f>Assumptions!B7</f>
        <v>0.1624850770699774</v>
      </c>
      <c r="F7" s="10">
        <f>Assumptions!B7</f>
        <v>0.1624850770699774</v>
      </c>
    </row>
    <row r="8" spans="1:6" x14ac:dyDescent="0.25">
      <c r="A8" t="s">
        <v>44</v>
      </c>
      <c r="B8" s="18">
        <f>B6*B7</f>
        <v>2157937692.663808</v>
      </c>
      <c r="C8" s="18">
        <f>C6*C7</f>
        <v>2403167522.9471393</v>
      </c>
      <c r="D8" s="18">
        <f>D6*D7</f>
        <v>2676265474.6619825</v>
      </c>
      <c r="E8" s="18">
        <f>E6*E7</f>
        <v>2980398504.255782</v>
      </c>
      <c r="F8" s="18">
        <f>F6*F7</f>
        <v>3319093463.734951</v>
      </c>
    </row>
    <row r="9" spans="1:6" x14ac:dyDescent="0.25">
      <c r="A9" t="s">
        <v>45</v>
      </c>
      <c r="B9" s="18">
        <f>B8*(1-Assumptions!B8)</f>
        <v>1704770777.2044084</v>
      </c>
      <c r="C9" s="18">
        <f>C8*(1-Assumptions!B8)</f>
        <v>1898502343.12824</v>
      </c>
      <c r="D9" s="18">
        <f>D8*(1-Assumptions!B8)</f>
        <v>2114249724.9829662</v>
      </c>
      <c r="E9" s="18">
        <f>E8*(1-Assumptions!B8)</f>
        <v>2354514818.362068</v>
      </c>
      <c r="F9" s="18">
        <f>F8*(1-Assumptions!B8)</f>
        <v>2622083836.350611</v>
      </c>
    </row>
    <row r="10" spans="1:6" x14ac:dyDescent="0.25">
      <c r="A10" t="s">
        <v>46</v>
      </c>
      <c r="B10" s="18">
        <f>B6*Assumptions!B9</f>
        <v>416646736.54765195</v>
      </c>
      <c r="C10" s="18">
        <f>C6*Assumptions!B9</f>
        <v>463994817.4672444</v>
      </c>
      <c r="D10" s="18">
        <f>D6*Assumptions!B9</f>
        <v>516723573.59707433</v>
      </c>
      <c r="E10" s="18">
        <f>E6*Assumptions!B9</f>
        <v>575444469.3334966</v>
      </c>
      <c r="F10" s="18">
        <f>F6*Assumptions!B9</f>
        <v>640838456.3943268</v>
      </c>
    </row>
    <row r="11" spans="1:6" x14ac:dyDescent="0.25">
      <c r="A11" t="s">
        <v>47</v>
      </c>
      <c r="B11" s="18">
        <f>-B6*Assumptions!B10</f>
        <v>-732559774.8643336</v>
      </c>
      <c r="C11" s="18">
        <f>-C6*Assumptions!B10</f>
        <v>-815808475.6368835</v>
      </c>
      <c r="D11" s="18">
        <f>-D6*Assumptions!B10</f>
        <v>-908517627.8539603</v>
      </c>
      <c r="E11" s="18">
        <f>-E6*Assumptions!B10</f>
        <v>-1011762325.0690209</v>
      </c>
      <c r="F11" s="18">
        <f>-F6*Assumptions!B10</f>
        <v>-1126739835.359166</v>
      </c>
    </row>
    <row r="12" spans="1:6" x14ac:dyDescent="0.25">
      <c r="A12" t="s">
        <v>48</v>
      </c>
      <c r="B12" s="18">
        <f>-(B6-Assumptions!B29)*Assumptions!B11</f>
        <v>104431149.60436738</v>
      </c>
      <c r="C12" s="18">
        <f>-(C6-B6)*Assumptions!B11</f>
        <v>116298792.11361837</v>
      </c>
      <c r="D12" s="18">
        <f>-(D6-C6)*Assumptions!B11</f>
        <v>129515083.36666816</v>
      </c>
      <c r="E12" s="18">
        <f>-(E6-D6)*Assumptions!B11</f>
        <v>144233284.9260157</v>
      </c>
      <c r="F12" s="18">
        <f>-(F6-E6)*Assumptions!B11</f>
        <v>160624075.12531585</v>
      </c>
    </row>
    <row r="13" spans="1:6" x14ac:dyDescent="0.25">
      <c r="A13" s="19" t="s">
        <v>49</v>
      </c>
      <c r="B13" s="20">
        <f>B9+B10+B11+B12</f>
        <v>1493288888.492094</v>
      </c>
      <c r="C13" s="20">
        <f>C9+C10+C11+C12</f>
        <v>1662987477.0722196</v>
      </c>
      <c r="D13" s="20">
        <f>D9+D10+D11+D12</f>
        <v>1851970754.0927484</v>
      </c>
      <c r="E13" s="20">
        <f>E9+E10+E11+E12</f>
        <v>2062430247.5525596</v>
      </c>
      <c r="F13" s="20">
        <f>F9+F10+F11+F12</f>
        <v>2296806532.511088</v>
      </c>
    </row>
    <row r="14" spans="1:6" x14ac:dyDescent="0.25">
      <c r="A14" t="s">
        <v>50</v>
      </c>
      <c r="B14" s="21">
        <f>1/(1+Assumptions!$B$26)^(1-0.5*Assumptions!$B$32)</f>
        <v>0.9545117765966711</v>
      </c>
      <c r="C14" s="21">
        <f>1/(1+Assumptions!$B$26)^(2-0.5*Assumptions!$B$32)</f>
        <v>0.869648741942755</v>
      </c>
      <c r="D14" s="21">
        <f>1/(1+Assumptions!$B$26)^(3-0.5*Assumptions!$B$32)</f>
        <v>0.7923306478828142</v>
      </c>
      <c r="E14" s="21">
        <f>1/(1+Assumptions!$B$26)^(4-0.5*Assumptions!$B$32)</f>
        <v>0.7218866943588641</v>
      </c>
      <c r="F14" s="21">
        <f>1/(1+Assumptions!$B$26)^(5-0.5*Assumptions!$B$32)</f>
        <v>0.6577057203136761</v>
      </c>
    </row>
    <row r="15" spans="1:6" x14ac:dyDescent="0.25">
      <c r="A15" s="19" t="s">
        <v>51</v>
      </c>
      <c r="B15" s="20">
        <f>B13*B14</f>
        <v>1425361829.926657</v>
      </c>
      <c r="C15" s="20">
        <f>C13*C14</f>
        <v>1446214967.3024118</v>
      </c>
      <c r="D15" s="20">
        <f>D13*D14</f>
        <v>1467373187.4503312</v>
      </c>
      <c r="E15" s="20">
        <f>E13*E14</f>
        <v>1488840953.751451</v>
      </c>
      <c r="F15" s="20">
        <f>F13*F14</f>
        <v>1510622794.8863618</v>
      </c>
    </row>
    <row r="17" spans="1:2" x14ac:dyDescent="0.25">
      <c r="A17" s="22" t="s">
        <v>52</v>
      </c>
      <c r="B17" s="23">
        <f>SUM(B15:F15)</f>
        <v>7338413733.317213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2296806532.511088</v>
      </c>
    </row>
    <row r="5" spans="1:2" x14ac:dyDescent="0.25">
      <c r="A5" t="s">
        <v>56</v>
      </c>
      <c r="B5" s="18">
        <f>IF(Assumptions!$B$33=0,B4,B4-Forecast!F11-Forecast!F10-Forecast!F12)</f>
        <v>2622083836.350611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0.0588004193370025</v>
      </c>
    </row>
    <row r="7" spans="1:2" x14ac:dyDescent="0.25">
      <c r="A7" t="s">
        <v>58</v>
      </c>
      <c r="B7" s="18">
        <f>-MAX(Forecast!F9,0)*B6</f>
        <v>-154179629.1141922</v>
      </c>
    </row>
    <row r="8" spans="1:2" x14ac:dyDescent="0.25">
      <c r="A8" t="s">
        <v>59</v>
      </c>
      <c r="B8" s="18">
        <f>IF(OR(Assumptions!$B$33=0,Assumptions!B12&lt;=0),B5,MAX(B5+B7,0))</f>
        <v>2467904207.236419</v>
      </c>
    </row>
    <row r="9" spans="1:2" x14ac:dyDescent="0.25">
      <c r="A9" t="s">
        <v>60</v>
      </c>
      <c r="B9" s="18">
        <f>B8*(1+Assumptions!B12)/(Assumptions!B26-Assumptions!B12)</f>
        <v>34851104887.62521</v>
      </c>
    </row>
    <row r="10" spans="1:2" x14ac:dyDescent="0.25">
      <c r="A10" t="s">
        <v>61</v>
      </c>
      <c r="B10" s="18">
        <f>B9/(1+Assumptions!B26)^(5-0.5*Assumptions!B32)</f>
        <v>22921771043.84302</v>
      </c>
    </row>
    <row r="11" spans="1:2" x14ac:dyDescent="0.25">
      <c r="A11" t="s">
        <v>62</v>
      </c>
      <c r="B11" s="18">
        <f>Forecast!B17+B10</f>
        <v>30260184777.160233</v>
      </c>
    </row>
    <row r="12" spans="1:2" x14ac:dyDescent="0.25">
      <c r="A12" t="s">
        <v>63</v>
      </c>
      <c r="B12" s="18">
        <f>-Assumptions!B30</f>
        <v>-4031207000</v>
      </c>
    </row>
    <row r="13" spans="1:2" x14ac:dyDescent="0.25">
      <c r="A13" t="s">
        <v>64</v>
      </c>
      <c r="B13" s="18">
        <f>B11+B12</f>
        <v>26228977777.160233</v>
      </c>
    </row>
    <row r="14" spans="1:2" x14ac:dyDescent="0.25">
      <c r="A14" s="19" t="s">
        <v>65</v>
      </c>
      <c r="B14" s="24">
        <f>B13/Assumptions!B31</f>
        <v>19.53572561116524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3959931920.1292777</v>
      </c>
    </row>
    <row r="18" spans="1:2" x14ac:dyDescent="0.25">
      <c r="A18" t="s">
        <v>60</v>
      </c>
      <c r="B18" s="18">
        <f>B17*Assumptions!B13</f>
        <v>77281093508.25185</v>
      </c>
    </row>
    <row r="19" spans="1:2" x14ac:dyDescent="0.25">
      <c r="A19" t="s">
        <v>61</v>
      </c>
      <c r="B19" s="18">
        <f>B18/(1+Assumptions!B26)^(5-0.5*Assumptions!B32)</f>
        <v>50828217272.47334</v>
      </c>
    </row>
    <row r="20" spans="1:2" x14ac:dyDescent="0.25">
      <c r="A20" t="s">
        <v>62</v>
      </c>
      <c r="B20" s="18">
        <f>Forecast!B17+B19</f>
        <v>58166631005.79056</v>
      </c>
    </row>
    <row r="21" spans="1:2" x14ac:dyDescent="0.25">
      <c r="A21" t="s">
        <v>63</v>
      </c>
      <c r="B21" s="18">
        <f>-Assumptions!B30</f>
        <v>-4031207000</v>
      </c>
    </row>
    <row r="22" spans="1:2" x14ac:dyDescent="0.25">
      <c r="A22" t="s">
        <v>64</v>
      </c>
      <c r="B22" s="18">
        <f>B20+B21</f>
        <v>54135424005.79056</v>
      </c>
    </row>
    <row r="23" spans="1:2" x14ac:dyDescent="0.25">
      <c r="A23" s="19" t="s">
        <v>65</v>
      </c>
      <c r="B23" s="25">
        <f>B22/Assumptions!B31</f>
        <v>40.320854217282196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19.53572561116524</v>
      </c>
    </row>
    <row r="29" spans="1:2" x14ac:dyDescent="0.25">
      <c r="A29" s="19" t="s">
        <v>73</v>
      </c>
      <c r="B29" s="12">
        <f>B28/B26-1</f>
        <v>-0.41562292518201494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0.077583</v>
      </c>
      <c r="B5" s="31">
        <v>24.556588234027366</v>
      </c>
      <c r="C5" s="31">
        <v>26.278438316373485</v>
      </c>
      <c r="D5" s="31">
        <v>28.324621601471023</v>
      </c>
      <c r="E5" s="31">
        <v>30.797380445650447</v>
      </c>
      <c r="F5" s="31">
        <v>33.84697747451886</v>
      </c>
    </row>
    <row r="6" spans="1:6" x14ac:dyDescent="0.25">
      <c r="A6" s="30">
        <v>0.087583</v>
      </c>
      <c r="B6" s="31">
        <v>20.648745636761273</v>
      </c>
      <c r="C6" s="31">
        <v>21.842624600418603</v>
      </c>
      <c r="D6" s="31">
        <v>23.224755685792154</v>
      </c>
      <c r="E6" s="31">
        <v>24.844177356069757</v>
      </c>
      <c r="F6" s="31">
        <v>26.768579906091183</v>
      </c>
    </row>
    <row r="7" spans="1:6" x14ac:dyDescent="0.25">
      <c r="A7" s="30">
        <v>0.097583</v>
      </c>
      <c r="B7" s="31">
        <v>17.693370748589263</v>
      </c>
      <c r="C7" s="31">
        <v>18.55617181373215</v>
      </c>
      <c r="D7" s="32">
        <v>19.53576269180821</v>
      </c>
      <c r="E7" s="31">
        <v>20.65806480083674</v>
      </c>
      <c r="F7" s="31">
        <v>21.95728341164667</v>
      </c>
    </row>
    <row r="8" spans="1:6" x14ac:dyDescent="0.25">
      <c r="A8" s="30">
        <v>0.107583</v>
      </c>
      <c r="B8" s="31">
        <v>15.381549562230934</v>
      </c>
      <c r="C8" s="31">
        <v>16.02511641079518</v>
      </c>
      <c r="D8" s="31">
        <v>16.744856973389943</v>
      </c>
      <c r="E8" s="31">
        <v>17.5554987767989</v>
      </c>
      <c r="F8" s="31">
        <v>18.475827467967104</v>
      </c>
    </row>
    <row r="9" spans="1:6" x14ac:dyDescent="0.25">
      <c r="A9" s="30">
        <v>0.117583</v>
      </c>
      <c r="B9" s="31">
        <v>13.524837834342573</v>
      </c>
      <c r="C9" s="31">
        <v>14.016998137700437</v>
      </c>
      <c r="D9" s="31">
        <v>14.560813028866454</v>
      </c>
      <c r="E9" s="31">
        <v>15.165129188327976</v>
      </c>
      <c r="F9" s="31">
        <v>15.8409357909083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11925601000</v>
      </c>
      <c r="C5" s="18">
        <v>11313853000</v>
      </c>
      <c r="D5" s="18">
        <v>9871649000</v>
      </c>
      <c r="E5" s="18">
        <v>8634652000</v>
      </c>
      <c r="F5" s="8" t="s">
        <v>84</v>
      </c>
    </row>
    <row r="6" spans="1:6" x14ac:dyDescent="0.25">
      <c r="A6" t="s">
        <v>44</v>
      </c>
      <c r="B6" s="18">
        <v>2012808000</v>
      </c>
      <c r="C6" s="18">
        <v>1985179000</v>
      </c>
      <c r="D6" s="18">
        <v>1633114000</v>
      </c>
      <c r="E6" s="18">
        <v>1211102000</v>
      </c>
      <c r="F6" s="8" t="s">
        <v>85</v>
      </c>
    </row>
    <row r="7" spans="1:6" x14ac:dyDescent="0.25">
      <c r="A7" t="s">
        <v>86</v>
      </c>
      <c r="B7" s="18">
        <v>361382000</v>
      </c>
      <c r="C7" s="18">
        <v>335030000</v>
      </c>
      <c r="D7" s="18">
        <v>319394000</v>
      </c>
      <c r="E7" s="18">
        <v>286826000</v>
      </c>
      <c r="F7" s="8" t="s">
        <v>87</v>
      </c>
    </row>
    <row r="8" spans="1:6" x14ac:dyDescent="0.25">
      <c r="A8" t="s">
        <v>88</v>
      </c>
      <c r="B8" s="18">
        <v>666336000</v>
      </c>
      <c r="C8" s="18">
        <v>593603000</v>
      </c>
      <c r="D8" s="18">
        <v>560731000</v>
      </c>
      <c r="E8" s="18">
        <v>479164000</v>
      </c>
      <c r="F8" s="8" t="s">
        <v>89</v>
      </c>
    </row>
    <row r="9" spans="1:6" x14ac:dyDescent="0.25">
      <c r="A9" t="s">
        <v>90</v>
      </c>
      <c r="B9" s="18">
        <v>-6499000</v>
      </c>
      <c r="C9" s="18">
        <v>-125818000</v>
      </c>
      <c r="D9" s="18">
        <v>-95320000</v>
      </c>
      <c r="E9" s="18">
        <v>-78641000</v>
      </c>
      <c r="F9" s="8" t="s">
        <v>91</v>
      </c>
    </row>
    <row r="10" spans="1:6" x14ac:dyDescent="0.25">
      <c r="A10" t="s">
        <v>92</v>
      </c>
      <c r="B10" s="18">
        <v>5075814000</v>
      </c>
      <c r="C10" s="18">
        <v>4540618000</v>
      </c>
      <c r="D10" s="18">
        <v>4051625000</v>
      </c>
      <c r="E10" s="18">
        <v>3731410000</v>
      </c>
      <c r="F10" s="8" t="s">
        <v>93</v>
      </c>
    </row>
    <row r="11" spans="1:6" x14ac:dyDescent="0.25">
      <c r="A11" t="s">
        <v>94</v>
      </c>
      <c r="B11" s="18">
        <v>1044607000</v>
      </c>
      <c r="C11" s="18">
        <v>1420665000</v>
      </c>
      <c r="D11" s="18">
        <v>1295447000</v>
      </c>
      <c r="E11" s="18">
        <v>899136000</v>
      </c>
      <c r="F11" s="8" t="s">
        <v>95</v>
      </c>
    </row>
    <row r="12" spans="1:6" x14ac:dyDescent="0.25">
      <c r="A12" t="s">
        <v>32</v>
      </c>
      <c r="B12" s="34">
        <v>1342616000</v>
      </c>
      <c r="C12" s="34">
        <v>1376555000</v>
      </c>
      <c r="D12" s="34">
        <v>1385500000</v>
      </c>
      <c r="E12" s="34">
        <v>1403100000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2026-09-19T00:07:14Z</dcterms:modified>
</cp:coreProperties>
</file>