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<sst xmlns="http://schemas.openxmlformats.org/spreadsheetml/2006/main" count="120" uniqueCount="107">
  <si>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Chipotle Mexican Grill, Inc. (CMG)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</si>
  <si>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</si>
  <si>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</si>
  <si>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</si>
  <si>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</si>
  <si>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</si>
  <si>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</si>
  <si>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</si>
  <si>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</si>
  <si>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</si>
  <si>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</si>
  <si>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</si>
  <si>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</si>
  <si>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</si>
  <si>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</si>
  <si>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</si>
  <si>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</si>
  <si>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</si>
  <si>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</si>
  <si>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</si>
  <si>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</si>
  <si>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</si>
  <si>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</si>
  <si>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</si>
  <si>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</si>
  <si>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</si>
  <si>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</si>
  <si>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</si>
  <si>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</si>
  <si>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</si>
  <si>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</si>
  <si>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</si>
  <si>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</si>
  <si>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</si>
  <si>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</si>
  <si>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</si>
  <si>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</si>
  <si>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</si>
  <si>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</si>
  <si>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</si>
  <si>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</si>
  <si>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</si>
  <si>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</si>
  <si>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</si>
  <si>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</si>
  <si>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</si>
  <si>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</si>
  <si>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</si>
  <si>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</si>
  <si>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</si>
  <si>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</si>
  <si>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</si>
  <si>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</si>
  <si>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</si>
  <si>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</si>
  <si>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</si>
  <si>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</si>
  <si>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</si>
  <si>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</si>
  <si>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</si>
  <si>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</si>
  <si>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</si>
  <si>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</si>
  <si>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</si>
  <si>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</si>
  <si>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</si>
  <si>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</si>
  <si>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</si>
  <si>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</si>
  <si>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</si>
  <si>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</si>
  <si>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</si>
  <si>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</si>
  <si>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</si>
  <si>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</si>
  <si>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</si>
  <si>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</si>
  <si>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</si>
  <si>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</si>
  <si>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</si>
  <si>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</si>
  <si>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</si>
  <si>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</si>
  <si>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</si>
  <si>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</si>
  <si>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</si>
  <si>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</si>
  <si>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</si>
  <si>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</si>
  <si>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</si>
  <si>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</si>
  <si>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</si>
  <si>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</si>
  <si>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</si>
  <si>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</si>
  <si>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</si>
  <si>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</si>
  <si>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</si>
  <si>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</si>
  <si>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</si>
  <si>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</si>
  <si>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</si>
  <si>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</si>
  <si>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</si>
  <si>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</si>
  <si>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5.5% of revenue against depreciation of 3.1%.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</si>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</sst>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0.09004436925233361</v>
      </c>
    </row>
    <row r="7" spans="1:2" x14ac:dyDescent="0.25">
      <c r="A7" t="s">
        <v>4</v>
      </c>
      <c r="B7" s="5">
        <v>0.1624850770699774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0.03137202586017706</v>
      </c>
    </row>
    <row r="10" spans="1:3" x14ac:dyDescent="0.25">
      <c r="A10" t="s">
        <v>7</v>
      </c>
      <c r="B10" s="5">
        <v>0.05515916047152554</v>
      </c>
      <c r="C10" s="6" t="s">
        <v>8</v>
      </c>
    </row>
    <row r="11" spans="1:2" x14ac:dyDescent="0.25">
      <c r="A11" t="s">
        <v>9</v>
      </c>
      <c r="B11" s="5">
        <v>-0.0029541298518811366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19.23246824559113</v>
      </c>
    </row>
    <row r="14" spans="1:3" x14ac:dyDescent="0.25">
      <c r="A14" t="s">
        <v>12</v>
      </c>
      <c r="B14" s="5">
        <v>0.4251670359137687</v>
      </c>
      <c r="C14" s="6" t="s">
        <v>13</v>
      </c>
    </row>
    <row r="15" spans="1:3" x14ac:dyDescent="0.25">
      <c r="A15" t="s">
        <v>14</v>
      </c>
      <c r="B15" s="5">
        <v>0.03137202586017706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0.99062</v>
      </c>
      <c r="C19" s="6" t="s">
        <v>21</v>
      </c>
    </row>
    <row r="20" spans="1:2" x14ac:dyDescent="0.25">
      <c r="A20" t="s">
        <v>22</v>
      </c>
      <c r="B20" s="9">
        <f>B17+B19*B18</f>
        <v>0.090843226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41630326784</v>
      </c>
    </row>
    <row r="23" spans="1:2" x14ac:dyDescent="0.25">
      <c r="A23" t="s">
        <v>26</v>
      </c>
      <c r="B23" s="10">
        <v>5075814000</v>
      </c>
    </row>
    <row r="24" spans="1:2" x14ac:dyDescent="0.25">
      <c r="A24" t="s">
        <v>27</v>
      </c>
      <c r="B24" s="9">
        <f>B22/(B22+B23)</f>
        <v>0.8913244829309723</v>
      </c>
    </row>
    <row r="25" spans="1:2" x14ac:dyDescent="0.25">
      <c r="A25" t="s">
        <v>28</v>
      </c>
      <c r="B25" s="9">
        <f>1-B24</f>
        <v>0.10867551706902767</v>
      </c>
    </row>
    <row r="26" spans="1:2" x14ac:dyDescent="0.25">
      <c r="A26" t="s">
        <v>29</v>
      </c>
      <c r="B26" s="11">
        <f>B24*B20+B25*B21*(1-B8)</f>
        <v>0.08688954265815509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11925601000</v>
      </c>
      <c r="C29" s="6" t="s">
        <v>32</v>
      </c>
    </row>
    <row r="30" spans="1:2" x14ac:dyDescent="0.25">
      <c r="A30" t="s">
        <v>33</v>
      </c>
      <c r="B30" s="10">
        <v>4031207000</v>
      </c>
    </row>
    <row r="31" spans="1:2" x14ac:dyDescent="0.25">
      <c r="A31" t="s">
        <v>34</v>
      </c>
      <c r="B31" s="12">
        <v>1342616000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0.09004436925233361</v>
      </c>
      <c r="C5" s="5">
        <v>0.10634546062574723</v>
      </c>
      <c r="D5" s="5">
        <v>0.09617727804752883</v>
      </c>
      <c r="E5" s="5">
        <v>0.08600909546931043</v>
      </c>
      <c r="F5" s="5">
        <v>0.07584091289109202</v>
      </c>
      <c r="G5" s="5">
        <v>0.06567273031287361</v>
      </c>
      <c r="H5" s="5">
        <v>0.05550454773465521</v>
      </c>
      <c r="I5" s="5">
        <v>0.045336365156436804</v>
      </c>
      <c r="J5" s="5">
        <v>0.035168182578218396</v>
      </c>
      <c r="K5" s="5">
        <v>0.024999999999999994</v>
      </c>
    </row>
    <row r="6" spans="1:11" x14ac:dyDescent="0.25">
      <c r="A6" t="s">
        <v>50</v>
      </c>
      <c r="B6" s="18">
        <f>Assumptions!B29*(1+B5)</f>
        <v>12999434219.999998</v>
      </c>
      <c r="C6" s="18">
        <f>B6*(1+C5)</f>
        <v>14381865040</v>
      </c>
      <c r="D6" s="18">
        <f>C6*(1+D5)</f>
        <v>15765073672.794113</v>
      </c>
      <c r="E6" s="18">
        <f>D6*(1+E5)</f>
        <v>17121013399.398174</v>
      </c>
      <c r="F6" s="18">
        <f>E6*(1+F5)</f>
        <v>18419486685.22915</v>
      </c>
      <c r="G6" s="18">
        <f>F6*(1+G5)</f>
        <v>19629144666.80977</v>
      </c>
      <c r="H6" s="18">
        <f>G6*(1+H5)</f>
        <v>20718651463.959164</v>
      </c>
      <c r="I6" s="18">
        <f>H6*(1+I5)</f>
        <v>21657959812.278164</v>
      </c>
      <c r="J6" s="18">
        <f>I6*(1+J5)</f>
        <v>22419630897.22808</v>
      </c>
      <c r="K6" s="18">
        <f>J6*(1+K5)</f>
        <v>22980121669.65878</v>
      </c>
    </row>
    <row r="7" spans="1:11" x14ac:dyDescent="0.25">
      <c r="A7" t="s">
        <v>4</v>
      </c>
      <c r="B7" s="9">
        <f>Assumptions!B7</f>
        <v>0.1624850770699774</v>
      </c>
      <c r="C7" s="9">
        <f>Assumptions!B7</f>
        <v>0.1624850770699774</v>
      </c>
      <c r="D7" s="9">
        <f>Assumptions!B7</f>
        <v>0.1624850770699774</v>
      </c>
      <c r="E7" s="9">
        <f>Assumptions!B7</f>
        <v>0.1624850770699774</v>
      </c>
      <c r="F7" s="9">
        <f>Assumptions!B7</f>
        <v>0.1624850770699774</v>
      </c>
      <c r="G7" s="9">
        <f>Assumptions!B7</f>
        <v>0.1624850770699774</v>
      </c>
      <c r="H7" s="9">
        <f>Assumptions!B7</f>
        <v>0.1624850770699774</v>
      </c>
      <c r="I7" s="9">
        <f>Assumptions!B7</f>
        <v>0.1624850770699774</v>
      </c>
      <c r="J7" s="9">
        <f>Assumptions!B7</f>
        <v>0.1624850770699774</v>
      </c>
      <c r="K7" s="9">
        <f>Assumptions!B7</f>
        <v>0.1624850770699774</v>
      </c>
    </row>
    <row r="8" spans="1:11" x14ac:dyDescent="0.25">
      <c r="A8" t="s">
        <v>51</v>
      </c>
      <c r="B8" s="18">
        <f>B6*B7</f>
        <v>2112214071.102801</v>
      </c>
      <c r="C8" s="18">
        <f>C6*C7</f>
        <v>2336838449.4344134</v>
      </c>
      <c r="D8" s="18">
        <f>D6*D7</f>
        <v>2561589210.737823</v>
      </c>
      <c r="E8" s="18">
        <f>E6*E7</f>
        <v>2781909181.717328</v>
      </c>
      <c r="F8" s="18">
        <f>F6*F7</f>
        <v>2992891713.6388807</v>
      </c>
      <c r="G8" s="18">
        <f>G6*G7</f>
        <v>3189443084.004321</v>
      </c>
      <c r="H8" s="18">
        <f>H6*H7</f>
        <v>3366471679.9074044</v>
      </c>
      <c r="I8" s="18">
        <f>I6*I7</f>
        <v>3519095269.2764907</v>
      </c>
      <c r="J8" s="18">
        <f>J6*J7</f>
        <v>3642855454.216551</v>
      </c>
      <c r="K8" s="18">
        <f>K6*K7</f>
        <v>3733926840.5719643</v>
      </c>
    </row>
    <row r="9" spans="1:11" x14ac:dyDescent="0.25">
      <c r="A9" t="s">
        <v>52</v>
      </c>
      <c r="B9" s="18">
        <f>B8*(1-Assumptions!B8)</f>
        <v>1668649116.171213</v>
      </c>
      <c r="C9" s="18">
        <f>C8*(1-Assumptions!B8)</f>
        <v>1846102375.0531867</v>
      </c>
      <c r="D9" s="18">
        <f>D8*(1-Assumptions!B8)</f>
        <v>2023655476.4828804</v>
      </c>
      <c r="E9" s="18">
        <f>E8*(1-Assumptions!B8)</f>
        <v>2197708253.5566893</v>
      </c>
      <c r="F9" s="18">
        <f>F8*(1-Assumptions!B8)</f>
        <v>2364384453.774716</v>
      </c>
      <c r="G9" s="18">
        <f>G8*(1-Assumptions!B8)</f>
        <v>2519660036.363414</v>
      </c>
      <c r="H9" s="18">
        <f>H8*(1-Assumptions!B8)</f>
        <v>2659512627.1268497</v>
      </c>
      <c r="I9" s="18">
        <f>I8*(1-Assumptions!B8)</f>
        <v>2780085262.728428</v>
      </c>
      <c r="J9" s="18">
        <f>J8*(1-Assumptions!B8)</f>
        <v>2877855808.831075</v>
      </c>
      <c r="K9" s="18">
        <f>K8*(1-Assumptions!B8)</f>
        <v>2949802204.0518517</v>
      </c>
    </row>
    <row r="10" spans="1:11" x14ac:dyDescent="0.25">
      <c r="A10" t="s">
        <v>53</v>
      </c>
      <c r="B10" s="18">
        <f>B6*Assumptions!B9</f>
        <v>407818586.51751053</v>
      </c>
      <c r="C10" s="18">
        <f>C6*Assumptions!B9</f>
        <v>451188241.95245636</v>
      </c>
      <c r="D10" s="18">
        <f>D6*Assumptions!B9</f>
        <v>494582298.95049345</v>
      </c>
      <c r="E10" s="18">
        <f>E6*Assumptions!B9</f>
        <v>537120875.1183574</v>
      </c>
      <c r="F10" s="18">
        <f>F6*Assumptions!B9</f>
        <v>577856612.6201959</v>
      </c>
      <c r="G10" s="18">
        <f>G6*Assumptions!B9</f>
        <v>615806034.1003127</v>
      </c>
      <c r="H10" s="18">
        <f>H6*Assumptions!B9</f>
        <v>649986069.5153222</v>
      </c>
      <c r="I10" s="18">
        <f>I6*Assumptions!B9</f>
        <v>679454075.309466</v>
      </c>
      <c r="J10" s="18">
        <f>J6*Assumptions!B9</f>
        <v>703349240.283464</v>
      </c>
      <c r="K10" s="18">
        <f>K6*Assumptions!B9</f>
        <v>720932971.2905505</v>
      </c>
    </row>
    <row r="11" spans="1:11" x14ac:dyDescent="0.25">
      <c r="A11" t="s">
        <v>54</v>
      </c>
      <c r="B11" s="18">
        <f>-B6*B19</f>
        <v>-717037878.1800203</v>
      </c>
      <c r="C11" s="18">
        <f>-C6*C19</f>
        <v>-767341405.4126761</v>
      </c>
      <c r="D11" s="18">
        <f>-D6*D19</f>
        <v>-812696197.673792</v>
      </c>
      <c r="E11" s="18">
        <f>-E6*E19</f>
        <v>-851702831.0243226</v>
      </c>
      <c r="F11" s="18">
        <f>-F6*F19</f>
        <v>-883061194.3636187</v>
      </c>
      <c r="G11" s="18">
        <f>-G6*G19</f>
        <v>-905636007.3896934</v>
      </c>
      <c r="H11" s="18">
        <f>-H6*H19</f>
        <v>-918518825.0996665</v>
      </c>
      <c r="I11" s="18">
        <f>-I6*I19</f>
        <v>-921082171.4884703</v>
      </c>
      <c r="J11" s="18">
        <f>-J6*J19</f>
        <v>-913021663.0495392</v>
      </c>
      <c r="K11" s="18">
        <f>-K6*K19</f>
        <v>-894382577.8500135</v>
      </c>
    </row>
    <row r="12" spans="1:11" x14ac:dyDescent="0.25">
      <c r="A12" t="s">
        <v>55</v>
      </c>
      <c r="B12" s="18">
        <f>-(B6-Assumptions!B29)*Assumptions!B11</f>
        <v>3172242.7711436385</v>
      </c>
      <c r="C12" s="18">
        <f>-(C6-B6)*Assumptions!B11</f>
        <v>4083880.153522524</v>
      </c>
      <c r="D12" s="18">
        <f>-(D6-C6)*Assumptions!B11</f>
        <v>4086177.913516783</v>
      </c>
      <c r="E12" s="18">
        <f>-(E6-D6)*Assumptions!B11</f>
        <v>4005622.023712604</v>
      </c>
      <c r="F12" s="18">
        <f>-(F6-E6)*Assumptions!B11</f>
        <v>3835858.69554347</v>
      </c>
      <c r="G12" s="18">
        <f>-(G6-F6)*Assumptions!B11</f>
        <v>3573486.753953591</v>
      </c>
      <c r="H12" s="18">
        <f>-(H6-G6)*Assumptions!B11</f>
        <v>3218544.5532864337</v>
      </c>
      <c r="I12" s="18">
        <f>-(I6-H6)*Assumptions!B11</f>
        <v>2774838.831890323</v>
      </c>
      <c r="J12" s="18">
        <f>-(J6-I6)*Assumptions!B11</f>
        <v>2250075.2893652422</v>
      </c>
      <c r="K12" s="18">
        <f>-(K6-J6)*Assumptions!B11</f>
        <v>1655762.522541443</v>
      </c>
    </row>
    <row r="13" spans="1:11" x14ac:dyDescent="0.25">
      <c r="A13" s="19" t="s">
        <v>56</v>
      </c>
      <c r="B13" s="20">
        <f>B9+B10+B11+B12</f>
        <v>1362602067.279847</v>
      </c>
      <c r="C13" s="20">
        <f>C9+C10+C11+C12</f>
        <v>1534033091.7464893</v>
      </c>
      <c r="D13" s="20">
        <f>D9+D10+D11+D12</f>
        <v>1709627755.6730988</v>
      </c>
      <c r="E13" s="20">
        <f>E9+E10+E11+E12</f>
        <v>1887131919.674437</v>
      </c>
      <c r="F13" s="20">
        <f>F9+F10+F11+F12</f>
        <v>2063015730.7268364</v>
      </c>
      <c r="G13" s="20">
        <f>G9+G10+G11+G12</f>
        <v>2233403549.8279867</v>
      </c>
      <c r="H13" s="20">
        <f>H9+H10+H11+H12</f>
        <v>2394198416.095792</v>
      </c>
      <c r="I13" s="20">
        <f>I9+I10+I11+I12</f>
        <v>2541232005.3813133</v>
      </c>
      <c r="J13" s="20">
        <f>J9+J10+J11+J12</f>
        <v>2670433461.3543653</v>
      </c>
      <c r="K13" s="20">
        <f>K9+K10+K11+K12</f>
        <v>2778008360.0149302</v>
      </c>
    </row>
    <row r="14" spans="1:11" x14ac:dyDescent="0.25">
      <c r="A14" t="s">
        <v>57</v>
      </c>
      <c r="B14" s="21">
        <f>1/(1+Assumptions!$B$26)^(1-0.5*Assumptions!$B$32)</f>
        <v>0.95919585830408</v>
      </c>
      <c r="C14" s="21">
        <f>1/(1+Assumptions!$B$26)^(2-0.5*Assumptions!$B$32)</f>
        <v>0.8825145708534646</v>
      </c>
      <c r="D14" s="21">
        <f>1/(1+Assumptions!$B$26)^(3-0.5*Assumptions!$B$32)</f>
        <v>0.8119634389849218</v>
      </c>
      <c r="E14" s="21">
        <f>1/(1+Assumptions!$B$26)^(4-0.5*Assumptions!$B$32)</f>
        <v>0.7470523977985295</v>
      </c>
      <c r="F14" s="21">
        <f>1/(1+Assumptions!$B$26)^(5-0.5*Assumptions!$B$32)</f>
        <v>0.6873305598023313</v>
      </c>
      <c r="G14" s="21">
        <f>1/(1+Assumptions!$B$26)^(6-0.5*Assumptions!$B$32)</f>
        <v>0.6323830829408469</v>
      </c>
      <c r="H14" s="21">
        <f>1/(1+Assumptions!$B$26)^(7-0.5*Assumptions!$B$32)</f>
        <v>0.5818282890037354</v>
      </c>
      <c r="I14" s="21">
        <f>1/(1+Assumptions!$B$26)^(8-0.5*Assumptions!$B$32)</f>
        <v>0.5353150123983944</v>
      </c>
      <c r="J14" s="21">
        <f>1/(1+Assumptions!$B$26)^(9-0.5*Assumptions!$B$32)</f>
        <v>0.49252016087044076</v>
      </c>
      <c r="K14" s="21">
        <f>1/(1+Assumptions!$B$26)^(10-0.5*Assumptions!$B$32)</f>
        <v>0.4531464712282604</v>
      </c>
    </row>
    <row r="15" spans="1:11" x14ac:dyDescent="0.25">
      <c r="A15" s="19" t="s">
        <v>58</v>
      </c>
      <c r="B15" s="20">
        <f>B13*B14</f>
        <v>1307002259.4514065</v>
      </c>
      <c r="C15" s="20">
        <f>C13*C14</f>
        <v>1353806555.6376665</v>
      </c>
      <c r="D15" s="20">
        <f>D13*D14</f>
        <v>1388155231.880403</v>
      </c>
      <c r="E15" s="20">
        <f>E13*E14</f>
        <v>1409786425.5549302</v>
      </c>
      <c r="F15" s="20">
        <f>F13*F14</f>
        <v>1417973757.081492</v>
      </c>
      <c r="G15" s="20">
        <f>G13*G14</f>
        <v>1412366622.2912536</v>
      </c>
      <c r="H15" s="20">
        <f>H13*H14</f>
        <v>1393012367.972468</v>
      </c>
      <c r="I15" s="20">
        <f>I13*I14</f>
        <v>1360359642.4678943</v>
      </c>
      <c r="J15" s="20">
        <f>J13*J14</f>
        <v>1315242317.9800599</v>
      </c>
      <c r="K15" s="20">
        <f>K13*K14</f>
        <v>1258844685.3833725</v>
      </c>
    </row>
    <row r="17" spans="1:2" x14ac:dyDescent="0.25">
      <c r="A17" s="22" t="s">
        <v>59</v>
      </c>
      <c r="B17" s="23">
        <f>SUM(B15:K15)</f>
        <v>13616549865.700947</v>
      </c>
    </row>
    <row r="19" spans="1:11" x14ac:dyDescent="0.25">
      <c r="A19" t="s">
        <v>7</v>
      </c>
      <c r="B19" s="9">
        <f>Assumptions!$B$10+($B$20-Assumptions!$B$10)*0/9</f>
        <v>0.05515916047152554</v>
      </c>
      <c r="C19" s="9">
        <f>Assumptions!$B$10+($B$20-Assumptions!$B$10)*1/9</f>
        <v>0.053354791139986674</v>
      </c>
      <c r="D19" s="9">
        <f>Assumptions!$B$10+($B$20-Assumptions!$B$10)*2/9</f>
        <v>0.05155042180844781</v>
      </c>
      <c r="E19" s="9">
        <f>Assumptions!$B$10+($B$20-Assumptions!$B$10)*3/9</f>
        <v>0.049746052476908935</v>
      </c>
      <c r="F19" s="9">
        <f>Assumptions!$B$10+($B$20-Assumptions!$B$10)*4/9</f>
        <v>0.04794168314537007</v>
      </c>
      <c r="G19" s="9">
        <f>Assumptions!$B$10+($B$20-Assumptions!$B$10)*5/9</f>
        <v>0.0461373138138312</v>
      </c>
      <c r="H19" s="9">
        <f>Assumptions!$B$10+($B$20-Assumptions!$B$10)*6/9</f>
        <v>0.04433294448229234</v>
      </c>
      <c r="I19" s="9">
        <f>Assumptions!$B$10+($B$20-Assumptions!$B$10)*7/9</f>
        <v>0.042528575150753464</v>
      </c>
      <c r="J19" s="9">
        <f>Assumptions!$B$10+($B$20-Assumptions!$B$10)*8/9</f>
        <v>0.0407242058192146</v>
      </c>
      <c r="K19" s="9">
        <f>Assumptions!$B$10+($B$20-Assumptions!$B$10)*9/9</f>
        <v>0.03891983648767573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0.03891983648767573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2778008360.0149302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2949802204.0518517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0.0588004193370025</v>
      </c>
    </row>
    <row r="7" spans="1:2" x14ac:dyDescent="0.25">
      <c r="A7" t="s">
        <v>66</v>
      </c>
      <c r="B7" s="18">
        <f>-MAX(B5,0)*B6</f>
        <v>-173449606.5594631</v>
      </c>
    </row>
    <row r="8" spans="1:2" x14ac:dyDescent="0.25">
      <c r="A8" t="s">
        <v>67</v>
      </c>
      <c r="B8" s="18">
        <f>IF(OR(Assumptions!$B$33=0,Assumptions!B12&lt;=0),B5,MAX(B5+B7,0))</f>
        <v>2776352597.4923887</v>
      </c>
    </row>
    <row r="9" spans="1:2" x14ac:dyDescent="0.25">
      <c r="A9" t="s">
        <v>68</v>
      </c>
      <c r="B9" s="18">
        <f>B8*(1+Assumptions!B12)/(Assumptions!B26-Assumptions!B12)</f>
        <v>45981296519.64259</v>
      </c>
    </row>
    <row r="10" spans="1:2" x14ac:dyDescent="0.25">
      <c r="A10" t="s">
        <v>69</v>
      </c>
      <c r="B10" s="18">
        <f>B9/(1+Assumptions!B26)^(10-0.5*Assumptions!B32)</f>
        <v>20836262260.37633</v>
      </c>
    </row>
    <row r="11" spans="1:2" x14ac:dyDescent="0.25">
      <c r="A11" t="s">
        <v>70</v>
      </c>
      <c r="B11" s="18">
        <f>Forecast!B17+B10</f>
        <v>34452812126.07728</v>
      </c>
    </row>
    <row r="12" spans="1:2" x14ac:dyDescent="0.25">
      <c r="A12" t="s">
        <v>71</v>
      </c>
      <c r="B12" s="18">
        <f>-Assumptions!B30</f>
        <v>-4031207000</v>
      </c>
    </row>
    <row r="13" spans="1:2" x14ac:dyDescent="0.25">
      <c r="A13" t="s">
        <v>72</v>
      </c>
      <c r="B13" s="18">
        <f>B11+B12</f>
        <v>30421605126.07728</v>
      </c>
    </row>
    <row r="14" spans="1:2" x14ac:dyDescent="0.25">
      <c r="A14" s="19" t="s">
        <v>73</v>
      </c>
      <c r="B14" s="24">
        <f>B13/Assumptions!B31</f>
        <v>22.65845567614067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4454859811.8625145</v>
      </c>
    </row>
    <row r="18" spans="1:2" x14ac:dyDescent="0.25">
      <c r="A18" t="s">
        <v>68</v>
      </c>
      <c r="B18" s="18">
        <f>B17*Assumptions!B13</f>
        <v>85677949870.20589</v>
      </c>
    </row>
    <row r="19" spans="1:2" x14ac:dyDescent="0.25">
      <c r="A19" t="s">
        <v>69</v>
      </c>
      <c r="B19" s="18">
        <f>B18/(1+Assumptions!B26)^(10-0.5*Assumptions!B32)</f>
        <v>38824660645.75559</v>
      </c>
    </row>
    <row r="20" spans="1:2" x14ac:dyDescent="0.25">
      <c r="A20" t="s">
        <v>70</v>
      </c>
      <c r="B20" s="18">
        <f>Forecast!B17+B19</f>
        <v>52441210511.45654</v>
      </c>
    </row>
    <row r="21" spans="1:2" x14ac:dyDescent="0.25">
      <c r="A21" t="s">
        <v>71</v>
      </c>
      <c r="B21" s="18">
        <f>-Assumptions!B30</f>
        <v>-4031207000</v>
      </c>
    </row>
    <row r="22" spans="1:2" x14ac:dyDescent="0.25">
      <c r="A22" t="s">
        <v>72</v>
      </c>
      <c r="B22" s="18">
        <f>B20+B21</f>
        <v>48410003511.45654</v>
      </c>
    </row>
    <row r="23" spans="1:2" x14ac:dyDescent="0.25">
      <c r="A23" s="19" t="s">
        <v>73</v>
      </c>
      <c r="B23" s="25">
        <f>B22/Assumptions!B31</f>
        <v>36.05647743767134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22.65845567614067</v>
      </c>
    </row>
    <row r="29" spans="1:2" x14ac:dyDescent="0.25">
      <c r="A29" s="19" t="s">
        <v>81</v>
      </c>
      <c r="B29" s="11">
        <f>B28/B26-1</f>
        <v>-0.31150241032693193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0.06689</v>
      </c>
      <c r="B5" s="31">
        <v>30.695697603904588</v>
      </c>
      <c r="C5" s="31">
        <v>32.82963157902722</v>
      </c>
      <c r="D5" s="31">
        <v>35.48738211753368</v>
      </c>
      <c r="E5" s="31">
        <v>38.88194050299018</v>
      </c>
      <c r="F5" s="31">
        <v>43.35987674807315</v>
      </c>
    </row>
    <row r="6" spans="1:6" x14ac:dyDescent="0.25">
      <c r="A6" s="30">
        <v>0.07689</v>
      </c>
      <c r="B6" s="31">
        <v>24.956205202453816</v>
      </c>
      <c r="C6" s="31">
        <v>26.260864495750877</v>
      </c>
      <c r="D6" s="31">
        <v>27.827933452225572</v>
      </c>
      <c r="E6" s="31">
        <v>29.741356301941146</v>
      </c>
      <c r="F6" s="31">
        <v>32.12515568511272</v>
      </c>
    </row>
    <row r="7" spans="1:6" x14ac:dyDescent="0.25">
      <c r="A7" s="30">
        <v>0.08689</v>
      </c>
      <c r="B7" s="31">
        <v>20.830963811705036</v>
      </c>
      <c r="C7" s="31">
        <v>21.672289472583444</v>
      </c>
      <c r="D7" s="32">
        <v>22.65825776348495</v>
      </c>
      <c r="E7" s="31">
        <v>23.827006133000644</v>
      </c>
      <c r="F7" s="31">
        <v>25.23137137394634</v>
      </c>
    </row>
    <row r="8" spans="1:6" x14ac:dyDescent="0.25">
      <c r="A8" s="30">
        <v>0.09689</v>
      </c>
      <c r="B8" s="31">
        <v>17.7275055638358</v>
      </c>
      <c r="C8" s="31">
        <v>18.290310530983735</v>
      </c>
      <c r="D8" s="31">
        <v>18.938491660233232</v>
      </c>
      <c r="E8" s="31">
        <v>19.691194450635336</v>
      </c>
      <c r="F8" s="31">
        <v>20.573751345513497</v>
      </c>
    </row>
    <row r="9" spans="1:6" x14ac:dyDescent="0.25">
      <c r="A9" s="30">
        <v>0.10689</v>
      </c>
      <c r="B9" s="31">
        <v>15.311346256228157</v>
      </c>
      <c r="C9" s="31">
        <v>15.69752978545391</v>
      </c>
      <c r="D9" s="31">
        <v>16.136765092008797</v>
      </c>
      <c r="E9" s="31">
        <v>16.639401722777166</v>
      </c>
      <c r="F9" s="31">
        <v>17.21866849766724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11925601000</v>
      </c>
      <c r="C5" s="18">
        <v>11313853000</v>
      </c>
      <c r="D5" s="18">
        <v>9871649000</v>
      </c>
      <c r="E5" s="18">
        <v>8634652000</v>
      </c>
      <c r="F5" s="6" t="s">
        <v>91</v>
      </c>
    </row>
    <row r="6" spans="1:6" x14ac:dyDescent="0.25">
      <c r="A6" t="s">
        <v>51</v>
      </c>
      <c r="B6" s="18">
        <v>2012808000</v>
      </c>
      <c r="C6" s="18">
        <v>1985179000</v>
      </c>
      <c r="D6" s="18">
        <v>1633114000</v>
      </c>
      <c r="E6" s="18">
        <v>1211102000</v>
      </c>
      <c r="F6" s="6" t="s">
        <v>92</v>
      </c>
    </row>
    <row r="7" spans="1:6" x14ac:dyDescent="0.25">
      <c r="A7" t="s">
        <v>93</v>
      </c>
      <c r="B7" s="18">
        <v>361382000</v>
      </c>
      <c r="C7" s="18">
        <v>335030000</v>
      </c>
      <c r="D7" s="18">
        <v>319394000</v>
      </c>
      <c r="E7" s="18">
        <v>286826000</v>
      </c>
      <c r="F7" s="6" t="s">
        <v>94</v>
      </c>
    </row>
    <row r="8" spans="1:6" x14ac:dyDescent="0.25">
      <c r="A8" t="s">
        <v>95</v>
      </c>
      <c r="B8" s="18">
        <v>666336000</v>
      </c>
      <c r="C8" s="18">
        <v>593603000</v>
      </c>
      <c r="D8" s="18">
        <v>560731000</v>
      </c>
      <c r="E8" s="18">
        <v>479164000</v>
      </c>
      <c r="F8" s="6" t="s">
        <v>96</v>
      </c>
    </row>
    <row r="9" spans="1:6" x14ac:dyDescent="0.25">
      <c r="A9" t="s">
        <v>97</v>
      </c>
      <c r="B9" s="18">
        <v>-6499000</v>
      </c>
      <c r="C9" s="18">
        <v>-125818000</v>
      </c>
      <c r="D9" s="18">
        <v>-95320000</v>
      </c>
      <c r="E9" s="18">
        <v>-78641000</v>
      </c>
      <c r="F9" s="6" t="s">
        <v>98</v>
      </c>
    </row>
    <row r="10" spans="1:6" x14ac:dyDescent="0.25">
      <c r="A10" t="s">
        <v>99</v>
      </c>
      <c r="B10" s="18">
        <v>5075814000</v>
      </c>
      <c r="C10" s="18">
        <v>4540618000</v>
      </c>
      <c r="D10" s="18">
        <v>4051625000</v>
      </c>
      <c r="E10" s="18">
        <v>3731410000</v>
      </c>
      <c r="F10" s="6" t="s">
        <v>100</v>
      </c>
    </row>
    <row r="11" spans="1:6" x14ac:dyDescent="0.25">
      <c r="A11" t="s">
        <v>101</v>
      </c>
      <c r="B11" s="18">
        <v>1044607000</v>
      </c>
      <c r="C11" s="18">
        <v>1420665000</v>
      </c>
      <c r="D11" s="18">
        <v>1295447000</v>
      </c>
      <c r="E11" s="18">
        <v>899136000</v>
      </c>
      <c r="F11" s="6" t="s">
        <v>102</v>
      </c>
    </row>
    <row r="12" spans="1:6" x14ac:dyDescent="0.25">
      <c r="A12" t="s">
        <v>34</v>
      </c>
      <c r="B12" s="34">
        <v>1342616000</v>
      </c>
      <c r="C12" s="34">
        <v>1376555000</v>
      </c>
      <c r="D12" s="34">
        <v>1385500000</v>
      </c>
      <c r="E12" s="34">
        <v>1403100000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