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<sst xmlns="http://schemas.openxmlformats.org/spreadsheetml/2006/main" count="111" uniqueCount="99">
  <si>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Cummins Inc. (CMI)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</si>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</sst>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0.06246086056249833</v>
      </c>
    </row>
    <row r="7" spans="1:2" x14ac:dyDescent="0.25">
      <c r="A7" t="s">
        <v>5</v>
      </c>
      <c r="B7" s="6">
        <v>0.0857717342657537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0.030508686708992743</v>
      </c>
    </row>
    <row r="10" spans="1:2" x14ac:dyDescent="0.25">
      <c r="A10" t="s">
        <v>8</v>
      </c>
      <c r="B10" s="6">
        <v>0.035084782289722435</v>
      </c>
    </row>
    <row r="11" spans="1:2" x14ac:dyDescent="0.25">
      <c r="A11" t="s">
        <v>9</v>
      </c>
      <c r="B11" s="6">
        <v>-0.4036054081121683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15.648725569416499</v>
      </c>
    </row>
    <row r="14" spans="1:3" x14ac:dyDescent="0.25">
      <c r="A14" t="s">
        <v>12</v>
      </c>
      <c r="B14" s="6">
        <v>0.13726606640481792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1.1514199999999999</v>
      </c>
      <c r="C19" s="8" t="s">
        <v>19</v>
      </c>
    </row>
    <row r="20" spans="1:2" x14ac:dyDescent="0.25">
      <c r="A20" t="s">
        <v>20</v>
      </c>
      <c r="B20" s="10">
        <f>B17+B19*B18</f>
        <v>0.1133081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73269166080</v>
      </c>
    </row>
    <row r="23" spans="1:2" x14ac:dyDescent="0.25">
      <c r="A23" t="s">
        <v>24</v>
      </c>
      <c r="B23" s="11">
        <v>8114000000</v>
      </c>
    </row>
    <row r="24" spans="1:2" x14ac:dyDescent="0.25">
      <c r="A24" t="s">
        <v>25</v>
      </c>
      <c r="B24" s="10">
        <f>B22/(B22+B23)</f>
        <v>0.900298791619585</v>
      </c>
    </row>
    <row r="25" spans="1:2" x14ac:dyDescent="0.25">
      <c r="A25" t="s">
        <v>26</v>
      </c>
      <c r="B25" s="10">
        <f>1-B24</f>
        <v>0.09970120838041496</v>
      </c>
    </row>
    <row r="26" spans="1:2" x14ac:dyDescent="0.25">
      <c r="A26" t="s">
        <v>27</v>
      </c>
      <c r="B26" s="12">
        <f>B24*B20+B25*B21*(1-B8)</f>
        <v>0.10594776796264507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33670000000</v>
      </c>
      <c r="C29" s="8" t="s">
        <v>30</v>
      </c>
    </row>
    <row r="30" spans="1:2" x14ac:dyDescent="0.25">
      <c r="A30" t="s">
        <v>31</v>
      </c>
      <c r="B30" s="11">
        <v>4505000000</v>
      </c>
    </row>
    <row r="31" spans="1:2" x14ac:dyDescent="0.25">
      <c r="A31" t="s">
        <v>32</v>
      </c>
      <c r="B31" s="13">
        <v>138700000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0.06246086056249833</v>
      </c>
      <c r="C5" s="10">
        <f>Assumptions!B6</f>
        <v>0.06246086056249833</v>
      </c>
      <c r="D5" s="10">
        <f>Assumptions!B6</f>
        <v>0.06246086056249833</v>
      </c>
      <c r="E5" s="10">
        <f>Assumptions!B6</f>
        <v>0.06246086056249833</v>
      </c>
      <c r="F5" s="10">
        <f>Assumptions!B6</f>
        <v>0.06246086056249833</v>
      </c>
    </row>
    <row r="6" spans="1:6" x14ac:dyDescent="0.25">
      <c r="A6" t="s">
        <v>43</v>
      </c>
      <c r="B6" s="18">
        <f>Assumptions!B29*(1+B5)</f>
        <v>35773057175.13932</v>
      </c>
      <c r="C6" s="18">
        <f>B6*(1+C5)</f>
        <v>38007473111.24998</v>
      </c>
      <c r="D6" s="18">
        <f>C6*(1+D5)</f>
        <v>40381452589.58466</v>
      </c>
      <c r="E6" s="18">
        <f>D6*(1+E5)</f>
        <v>42903712869.09385</v>
      </c>
      <c r="F6" s="18">
        <f>E6*(1+F5)</f>
        <v>45583515696.223785</v>
      </c>
    </row>
    <row r="7" spans="1:6" x14ac:dyDescent="0.25">
      <c r="A7" t="s">
        <v>5</v>
      </c>
      <c r="B7" s="10">
        <f>Assumptions!B7</f>
        <v>0.0857717342657537</v>
      </c>
      <c r="C7" s="10">
        <f>Assumptions!B7</f>
        <v>0.0857717342657537</v>
      </c>
      <c r="D7" s="10">
        <f>Assumptions!B7</f>
        <v>0.0857717342657537</v>
      </c>
      <c r="E7" s="10">
        <f>Assumptions!B7</f>
        <v>0.0857717342657537</v>
      </c>
      <c r="F7" s="10">
        <f>Assumptions!B7</f>
        <v>0.0857717342657537</v>
      </c>
    </row>
    <row r="8" spans="1:6" x14ac:dyDescent="0.25">
      <c r="A8" t="s">
        <v>44</v>
      </c>
      <c r="B8" s="18">
        <f>B6*B7</f>
        <v>3068317153.8996634</v>
      </c>
      <c r="C8" s="18">
        <f>C6*C7</f>
        <v>3259966883.810912</v>
      </c>
      <c r="D8" s="18">
        <f>D6*D7</f>
        <v>3463587220.7789874</v>
      </c>
      <c r="E8" s="18">
        <f>E6*E7</f>
        <v>3679925859.222115</v>
      </c>
      <c r="F8" s="18">
        <f>F6*F7</f>
        <v>3909777195.195319</v>
      </c>
    </row>
    <row r="9" spans="1:6" x14ac:dyDescent="0.25">
      <c r="A9" t="s">
        <v>45</v>
      </c>
      <c r="B9" s="18">
        <f>B8*(1-Assumptions!B8)</f>
        <v>2423970551.5807343</v>
      </c>
      <c r="C9" s="18">
        <f>C8*(1-Assumptions!B8)</f>
        <v>2575373838.210621</v>
      </c>
      <c r="D9" s="18">
        <f>D8*(1-Assumptions!B8)</f>
        <v>2736233904.4154</v>
      </c>
      <c r="E9" s="18">
        <f>E8*(1-Assumptions!B8)</f>
        <v>2907141428.785471</v>
      </c>
      <c r="F9" s="18">
        <f>F8*(1-Assumptions!B8)</f>
        <v>3088723984.2043023</v>
      </c>
    </row>
    <row r="10" spans="1:6" x14ac:dyDescent="0.25">
      <c r="A10" t="s">
        <v>46</v>
      </c>
      <c r="B10" s="18">
        <f>B6*Assumptions!B9</f>
        <v>1091388993.9792104</v>
      </c>
      <c r="C10" s="18">
        <f>C6*Assumptions!B9</f>
        <v>1159558089.7515912</v>
      </c>
      <c r="D10" s="18">
        <f>D6*Assumptions!B9</f>
        <v>1231985085.9096823</v>
      </c>
      <c r="E10" s="18">
        <f>E6*Assumptions!B9</f>
        <v>1308935934.5757644</v>
      </c>
      <c r="F10" s="18">
        <f>F6*Assumptions!B9</f>
        <v>1390693199.4705446</v>
      </c>
    </row>
    <row r="11" spans="1:6" x14ac:dyDescent="0.25">
      <c r="A11" t="s">
        <v>47</v>
      </c>
      <c r="B11" s="18">
        <f>-B6*Assumptions!B10</f>
        <v>-1255089922.8275561</v>
      </c>
      <c r="C11" s="18">
        <f>-C6*Assumptions!B10</f>
        <v>-1333483919.490685</v>
      </c>
      <c r="D11" s="18">
        <f>-D6*Assumptions!B10</f>
        <v>-1416774472.6483262</v>
      </c>
      <c r="E11" s="18">
        <f>-E6*Assumptions!B10</f>
        <v>-1505267425.4329205</v>
      </c>
      <c r="F11" s="18">
        <f>-F6*Assumptions!B10</f>
        <v>-1599287724.202157</v>
      </c>
    </row>
    <row r="12" spans="1:6" x14ac:dyDescent="0.25">
      <c r="A12" t="s">
        <v>48</v>
      </c>
      <c r="B12" s="18">
        <f>-(B6-Assumptions!B29)*Assumptions!B11</f>
        <v>848805249.4553292</v>
      </c>
      <c r="C12" s="18">
        <f>-(C6-B6)*Assumptions!B11</f>
        <v>901822355.7862741</v>
      </c>
      <c r="D12" s="18">
        <f>-(D6-C6)*Assumptions!B11</f>
        <v>958150956.2031834</v>
      </c>
      <c r="E12" s="18">
        <f>-(E6-D6)*Assumptions!B11</f>
        <v>1017997889.4764166</v>
      </c>
      <c r="F12" s="18">
        <f>-(F6-E6)*Assumptions!B11</f>
        <v>1081582913.7039201</v>
      </c>
    </row>
    <row r="13" spans="1:6" x14ac:dyDescent="0.25">
      <c r="A13" s="19" t="s">
        <v>49</v>
      </c>
      <c r="B13" s="20">
        <f>B9+B10+B11+B12</f>
        <v>3109074872.1877174</v>
      </c>
      <c r="C13" s="20">
        <f>C9+C10+C11+C12</f>
        <v>3303270364.257801</v>
      </c>
      <c r="D13" s="20">
        <f>D9+D10+D11+D12</f>
        <v>3509595473.879939</v>
      </c>
      <c r="E13" s="20">
        <f>E9+E10+E11+E12</f>
        <v>3728807827.4047318</v>
      </c>
      <c r="F13" s="20">
        <f>F9+F10+F11+F12</f>
        <v>3961712373.17661</v>
      </c>
    </row>
    <row r="14" spans="1:6" x14ac:dyDescent="0.25">
      <c r="A14" t="s">
        <v>50</v>
      </c>
      <c r="B14" s="21">
        <f>1/(1+Assumptions!$B$26)^(1-0.5*Assumptions!$B$32)</f>
        <v>0.9508952802015332</v>
      </c>
      <c r="C14" s="21">
        <f>1/(1+Assumptions!$B$26)^(2-0.5*Assumptions!$B$32)</f>
        <v>0.8598012562141644</v>
      </c>
      <c r="D14" s="21">
        <f>1/(1+Assumptions!$B$26)^(3-0.5*Assumptions!$B$32)</f>
        <v>0.7774338726665845</v>
      </c>
      <c r="E14" s="21">
        <f>1/(1+Assumptions!$B$26)^(4-0.5*Assumptions!$B$32)</f>
        <v>0.7029571334085313</v>
      </c>
      <c r="F14" s="21">
        <f>1/(1+Assumptions!$B$26)^(5-0.5*Assumptions!$B$32)</f>
        <v>0.6356151291877961</v>
      </c>
    </row>
    <row r="15" spans="1:6" x14ac:dyDescent="0.25">
      <c r="A15" s="19" t="s">
        <v>51</v>
      </c>
      <c r="B15" s="20">
        <f>B13*B14</f>
        <v>2956404621.756486</v>
      </c>
      <c r="C15" s="20">
        <f>C13*C14</f>
        <v>2840156008.803878</v>
      </c>
      <c r="D15" s="20">
        <f>D13*D14</f>
        <v>2728478400.751598</v>
      </c>
      <c r="E15" s="20">
        <f>E13*E14</f>
        <v>2621192061.3837237</v>
      </c>
      <c r="F15" s="20">
        <f>F13*F14</f>
        <v>2518124321.8815413</v>
      </c>
    </row>
    <row r="17" spans="1:2" x14ac:dyDescent="0.25">
      <c r="A17" s="22" t="s">
        <v>52</v>
      </c>
      <c r="B17" s="23">
        <f>SUM(B15:F15)</f>
        <v>13664355414.577229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3961712373.17661</v>
      </c>
    </row>
    <row r="5" spans="1:2" x14ac:dyDescent="0.25">
      <c r="A5" t="s">
        <v>56</v>
      </c>
      <c r="B5" s="18">
        <f>IF(Assumptions!$B$33=0,B4,B4-Forecast!F11-Forecast!F10-Forecast!F12)</f>
        <v>3088723984.2043023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0.18212804267495586</v>
      </c>
    </row>
    <row r="7" spans="1:2" x14ac:dyDescent="0.25">
      <c r="A7" t="s">
        <v>58</v>
      </c>
      <c r="B7" s="18">
        <f>-MAX(Forecast!F9,0)*B6</f>
        <v>-562543253.6063209</v>
      </c>
    </row>
    <row r="8" spans="1:2" x14ac:dyDescent="0.25">
      <c r="A8" t="s">
        <v>59</v>
      </c>
      <c r="B8" s="18">
        <f>IF(OR(Assumptions!$B$33=0,Assumptions!B12&lt;=0),B5,MAX(B5+B7,0))</f>
        <v>2526180730.5979815</v>
      </c>
    </row>
    <row r="9" spans="1:2" x14ac:dyDescent="0.25">
      <c r="A9" t="s">
        <v>60</v>
      </c>
      <c r="B9" s="18">
        <f>B8*(1+Assumptions!B12)/(Assumptions!B26-Assumptions!B12)</f>
        <v>31987728803.81124</v>
      </c>
    </row>
    <row r="10" spans="1:2" x14ac:dyDescent="0.25">
      <c r="A10" t="s">
        <v>61</v>
      </c>
      <c r="B10" s="18">
        <f>B9/(1+Assumptions!B26)^(5-0.5*Assumptions!B32)</f>
        <v>20331884376.058666</v>
      </c>
    </row>
    <row r="11" spans="1:2" x14ac:dyDescent="0.25">
      <c r="A11" t="s">
        <v>62</v>
      </c>
      <c r="B11" s="18">
        <f>Forecast!B17+B10</f>
        <v>33996239790.635895</v>
      </c>
    </row>
    <row r="12" spans="1:2" x14ac:dyDescent="0.25">
      <c r="A12" t="s">
        <v>63</v>
      </c>
      <c r="B12" s="18">
        <f>-Assumptions!B30</f>
        <v>-4505000000</v>
      </c>
    </row>
    <row r="13" spans="1:2" x14ac:dyDescent="0.25">
      <c r="A13" t="s">
        <v>64</v>
      </c>
      <c r="B13" s="18">
        <f>B11+B12</f>
        <v>29491239790.635895</v>
      </c>
    </row>
    <row r="14" spans="1:2" x14ac:dyDescent="0.25">
      <c r="A14" s="19" t="s">
        <v>65</v>
      </c>
      <c r="B14" s="24">
        <f>B13/Assumptions!B31</f>
        <v>212.62609798583918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5300470394.665864</v>
      </c>
    </row>
    <row r="18" spans="1:2" x14ac:dyDescent="0.25">
      <c r="A18" t="s">
        <v>60</v>
      </c>
      <c r="B18" s="18">
        <f>B17*Assumptions!B13</f>
        <v>82945606594.94287</v>
      </c>
    </row>
    <row r="19" spans="1:2" x14ac:dyDescent="0.25">
      <c r="A19" t="s">
        <v>61</v>
      </c>
      <c r="B19" s="18">
        <f>B18/(1+Assumptions!B26)^(5-0.5*Assumptions!B32)</f>
        <v>52721482451.404724</v>
      </c>
    </row>
    <row r="20" spans="1:2" x14ac:dyDescent="0.25">
      <c r="A20" t="s">
        <v>62</v>
      </c>
      <c r="B20" s="18">
        <f>Forecast!B17+B19</f>
        <v>66385837865.98195</v>
      </c>
    </row>
    <row r="21" spans="1:2" x14ac:dyDescent="0.25">
      <c r="A21" t="s">
        <v>63</v>
      </c>
      <c r="B21" s="18">
        <f>-Assumptions!B30</f>
        <v>-4505000000</v>
      </c>
    </row>
    <row r="22" spans="1:2" x14ac:dyDescent="0.25">
      <c r="A22" t="s">
        <v>64</v>
      </c>
      <c r="B22" s="18">
        <f>B20+B21</f>
        <v>61880837865.98195</v>
      </c>
    </row>
    <row r="23" spans="1:2" x14ac:dyDescent="0.25">
      <c r="A23" s="19" t="s">
        <v>65</v>
      </c>
      <c r="B23" s="25">
        <f>B22/Assumptions!B31</f>
        <v>446.14879499626494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532.23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212.62609798583918</v>
      </c>
    </row>
    <row r="29" spans="1:2" x14ac:dyDescent="0.25">
      <c r="A29" s="19" t="s">
        <v>73</v>
      </c>
      <c r="B29" s="12">
        <f>B28/B26-1</f>
        <v>-0.6004995998236868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0.085948</v>
      </c>
      <c r="B5" s="31">
        <v>266.3275473370154</v>
      </c>
      <c r="C5" s="31">
        <v>273.5538946988593</v>
      </c>
      <c r="D5" s="31">
        <v>281.87406465455115</v>
      </c>
      <c r="E5" s="31">
        <v>291.5813177122006</v>
      </c>
      <c r="F5" s="31">
        <v>303.08403587952836</v>
      </c>
    </row>
    <row r="6" spans="1:6" x14ac:dyDescent="0.25">
      <c r="A6" s="30">
        <v>0.095948</v>
      </c>
      <c r="B6" s="31">
        <v>232.91843115230188</v>
      </c>
      <c r="C6" s="31">
        <v>237.411584114517</v>
      </c>
      <c r="D6" s="31">
        <v>242.46233609818472</v>
      </c>
      <c r="E6" s="31">
        <v>248.1975140779184</v>
      </c>
      <c r="F6" s="31">
        <v>254.78556312067627</v>
      </c>
    </row>
    <row r="7" spans="1:6" x14ac:dyDescent="0.25">
      <c r="A7" s="30">
        <v>0.105948</v>
      </c>
      <c r="B7" s="31">
        <v>206.74295073746785</v>
      </c>
      <c r="C7" s="31">
        <v>209.54310677921754</v>
      </c>
      <c r="D7" s="32">
        <v>212.6254893717632</v>
      </c>
      <c r="E7" s="31">
        <v>216.04583926222034</v>
      </c>
      <c r="F7" s="31">
        <v>219.87561032481617</v>
      </c>
    </row>
    <row r="8" spans="1:6" x14ac:dyDescent="0.25">
      <c r="A8" s="30">
        <v>0.115948</v>
      </c>
      <c r="B8" s="31">
        <v>185.6573555187523</v>
      </c>
      <c r="C8" s="31">
        <v>187.3685781963684</v>
      </c>
      <c r="D8" s="31">
        <v>189.21351479176715</v>
      </c>
      <c r="E8" s="31">
        <v>191.21550161023484</v>
      </c>
      <c r="F8" s="31">
        <v>193.40364070921612</v>
      </c>
    </row>
    <row r="9" spans="1:6" x14ac:dyDescent="0.25">
      <c r="A9" s="30">
        <v>0.125948</v>
      </c>
      <c r="B9" s="31">
        <v>168.29041514139726</v>
      </c>
      <c r="C9" s="31">
        <v>169.28170389994614</v>
      </c>
      <c r="D9" s="31">
        <v>170.32407344373414</v>
      </c>
      <c r="E9" s="31">
        <v>171.42550947104158</v>
      </c>
      <c r="F9" s="31">
        <v>172.5957537821586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33670000000</v>
      </c>
      <c r="C5" s="18">
        <v>34102000000</v>
      </c>
      <c r="D5" s="18">
        <v>34065000000</v>
      </c>
      <c r="E5" s="18">
        <v>28074000000</v>
      </c>
      <c r="F5" s="8" t="s">
        <v>84</v>
      </c>
    </row>
    <row r="6" spans="1:6" x14ac:dyDescent="0.25">
      <c r="A6" t="s">
        <v>44</v>
      </c>
      <c r="B6" s="18">
        <v>3865000000</v>
      </c>
      <c r="C6" s="18">
        <v>3372000000</v>
      </c>
      <c r="D6" s="18">
        <v>1278000000</v>
      </c>
      <c r="E6" s="18">
        <v>2580000000</v>
      </c>
      <c r="F6" s="8" t="s">
        <v>85</v>
      </c>
    </row>
    <row r="7" spans="1:6" x14ac:dyDescent="0.25">
      <c r="A7" t="s">
        <v>86</v>
      </c>
      <c r="B7" s="18">
        <v>1105000000</v>
      </c>
      <c r="C7" s="18">
        <v>1065000000</v>
      </c>
      <c r="D7" s="18">
        <v>1024000000</v>
      </c>
      <c r="E7" s="18">
        <v>784000000</v>
      </c>
      <c r="F7" s="8" t="s">
        <v>87</v>
      </c>
    </row>
    <row r="8" spans="1:6" x14ac:dyDescent="0.25">
      <c r="A8" t="s">
        <v>88</v>
      </c>
      <c r="B8" s="18">
        <v>1235000000</v>
      </c>
      <c r="C8" s="18">
        <v>1208000000</v>
      </c>
      <c r="D8" s="18">
        <v>1213000000</v>
      </c>
      <c r="E8" s="18">
        <v>916000000</v>
      </c>
      <c r="F8" s="8" t="s">
        <v>89</v>
      </c>
    </row>
    <row r="9" spans="1:6" x14ac:dyDescent="0.25">
      <c r="A9" t="s">
        <v>90</v>
      </c>
      <c r="B9" s="18">
        <v>861000000</v>
      </c>
      <c r="C9" s="18">
        <v>2165000000</v>
      </c>
      <c r="D9" s="18">
        <v>-2418000000</v>
      </c>
      <c r="E9" s="18">
        <v>1005000000</v>
      </c>
      <c r="F9" s="8" t="s">
        <v>91</v>
      </c>
    </row>
    <row r="10" spans="1:6" x14ac:dyDescent="0.25">
      <c r="A10" t="s">
        <v>92</v>
      </c>
      <c r="B10" s="18">
        <v>8114000000</v>
      </c>
      <c r="C10" s="18">
        <v>7598000000</v>
      </c>
      <c r="D10" s="18">
        <v>7208000000</v>
      </c>
      <c r="E10" s="18">
        <v>8355000000</v>
      </c>
      <c r="F10" s="8" t="s">
        <v>93</v>
      </c>
    </row>
    <row r="11" spans="1:6" x14ac:dyDescent="0.25">
      <c r="A11" t="s">
        <v>94</v>
      </c>
      <c r="B11" s="18">
        <v>3609000000</v>
      </c>
      <c r="C11" s="18">
        <v>2264000000</v>
      </c>
      <c r="D11" s="18">
        <v>2741000000</v>
      </c>
      <c r="E11" s="18">
        <v>2573000000</v>
      </c>
      <c r="F11" s="8" t="s">
        <v>95</v>
      </c>
    </row>
    <row r="12" spans="1:6" x14ac:dyDescent="0.25">
      <c r="A12" t="s">
        <v>32</v>
      </c>
      <c r="B12" s="34">
        <v>138700000</v>
      </c>
      <c r="C12" s="34">
        <v>139100000</v>
      </c>
      <c r="D12" s="34">
        <v>142700000</v>
      </c>
      <c r="E12" s="34">
        <v>142300000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2026-09-19T00:07:23Z</dcterms:modified>
</cp:coreProperties>
</file>