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<sst xmlns="http://schemas.openxmlformats.org/spreadsheetml/2006/main" count="119" uniqueCount="106">
  <si>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Cummins Inc. (CMI)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</si>
  <si>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</si>
  <si>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</si>
  <si>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</si>
  <si>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</si>
  <si>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</si>
  <si>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</si>
  <si>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</si>
  <si>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</si>
  <si>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</si>
  <si>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</si>
  <si>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</si>
  <si>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</si>
  <si>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</si>
  <si>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</si>
  <si>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</si>
  <si>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</si>
  <si>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</si>
  <si>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</si>
  <si>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</si>
  <si>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</si>
  <si>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</si>
  <si>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</si>
  <si>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</si>
  <si>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11.7x interest cover. Book interest / average debt was lower, at 4.2%.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</si>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</sst>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0.11842868844668852</v>
      </c>
    </row>
    <row r="7" spans="1:2" x14ac:dyDescent="0.25">
      <c r="A7" t="s">
        <v>4</v>
      </c>
      <c r="B7" s="5">
        <v>0.0857717342657537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0.030508686708992743</v>
      </c>
    </row>
    <row r="10" spans="1:3" x14ac:dyDescent="0.25">
      <c r="A10" t="s">
        <v>7</v>
      </c>
      <c r="B10" s="5">
        <v>0.035084782289722435</v>
      </c>
      <c r="C10" s="6" t="s">
        <v>8</v>
      </c>
    </row>
    <row r="11" spans="1:2" x14ac:dyDescent="0.25">
      <c r="A11" t="s">
        <v>9</v>
      </c>
      <c r="B11" s="5">
        <v>0.2191688691028189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14.772603531589537</v>
      </c>
    </row>
    <row r="14" spans="1:3" x14ac:dyDescent="0.25">
      <c r="A14" t="s">
        <v>12</v>
      </c>
      <c r="B14" s="5">
        <v>0.13726606640481792</v>
      </c>
      <c r="C14" s="6" t="s">
        <v>13</v>
      </c>
    </row>
    <row r="15" spans="1:3" x14ac:dyDescent="0.25">
      <c r="A15" t="s">
        <v>14</v>
      </c>
      <c r="B15" s="5">
        <v>0.030508686708992743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1.15745</v>
      </c>
      <c r="C19" s="6" t="s">
        <v>21</v>
      </c>
    </row>
    <row r="20" spans="1:2" x14ac:dyDescent="0.25">
      <c r="A20" t="s">
        <v>22</v>
      </c>
      <c r="B20" s="9">
        <f>B17+B19*B18</f>
        <v>0.097900135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68914839552</v>
      </c>
    </row>
    <row r="23" spans="1:2" x14ac:dyDescent="0.25">
      <c r="A23" t="s">
        <v>26</v>
      </c>
      <c r="B23" s="10">
        <v>8114000000</v>
      </c>
    </row>
    <row r="24" spans="1:2" x14ac:dyDescent="0.25">
      <c r="A24" t="s">
        <v>27</v>
      </c>
      <c r="B24" s="9">
        <f>B22/(B22+B23)</f>
        <v>0.8946628295688854</v>
      </c>
    </row>
    <row r="25" spans="1:2" x14ac:dyDescent="0.25">
      <c r="A25" t="s">
        <v>28</v>
      </c>
      <c r="B25" s="9">
        <f>1-B24</f>
        <v>0.10533717043111457</v>
      </c>
    </row>
    <row r="26" spans="1:2" x14ac:dyDescent="0.25">
      <c r="A26" t="s">
        <v>29</v>
      </c>
      <c r="B26" s="11">
        <f>B24*B20+B25*B21*(1-B8)</f>
        <v>0.09199308613834821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33670000000</v>
      </c>
      <c r="C29" s="6" t="s">
        <v>32</v>
      </c>
    </row>
    <row r="30" spans="1:2" x14ac:dyDescent="0.25">
      <c r="A30" t="s">
        <v>33</v>
      </c>
      <c r="B30" s="10">
        <v>4505000000</v>
      </c>
    </row>
    <row r="31" spans="1:2" x14ac:dyDescent="0.25">
      <c r="A31" t="s">
        <v>34</v>
      </c>
      <c r="B31" s="12">
        <v>138700000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0.11842868844668852</v>
      </c>
      <c r="C5" s="5">
        <v>0.09741955813217884</v>
      </c>
      <c r="D5" s="5">
        <v>0.08836711336565649</v>
      </c>
      <c r="E5" s="5">
        <v>0.07931466859913414</v>
      </c>
      <c r="F5" s="5">
        <v>0.07026222383261177</v>
      </c>
      <c r="G5" s="5">
        <v>0.06120977906608942</v>
      </c>
      <c r="H5" s="5">
        <v>0.052157334299567065</v>
      </c>
      <c r="I5" s="5">
        <v>0.043104889533044706</v>
      </c>
      <c r="J5" s="5">
        <v>0.03405244476652235</v>
      </c>
      <c r="K5" s="5">
        <v>0.024999999999999994</v>
      </c>
    </row>
    <row r="6" spans="1:11" x14ac:dyDescent="0.25">
      <c r="A6" t="s">
        <v>50</v>
      </c>
      <c r="B6" s="18">
        <f>Assumptions!B29*(1+B5)</f>
        <v>37657493940</v>
      </c>
      <c r="C6" s="18">
        <f>B6*(1+C5)</f>
        <v>41326070360</v>
      </c>
      <c r="D6" s="18">
        <f>C6*(1+D5)</f>
        <v>44977935904.45921</v>
      </c>
      <c r="E6" s="18">
        <f>D6*(1+E5)</f>
        <v>48545345984.99449</v>
      </c>
      <c r="F6" s="18">
        <f>E6*(1+F5)</f>
        <v>51956249950.62376</v>
      </c>
      <c r="G6" s="18">
        <f>F6*(1+G5)</f>
        <v>55136480531.20396</v>
      </c>
      <c r="H6" s="18">
        <f>G6*(1+H5)</f>
        <v>58012252378.37154</v>
      </c>
      <c r="I6" s="18">
        <f>H6*(1+I5)</f>
        <v>60512864108.70436</v>
      </c>
      <c r="J6" s="18">
        <f>I6*(1+J5)</f>
        <v>62573475071.430084</v>
      </c>
      <c r="K6" s="18">
        <f>J6*(1+K5)</f>
        <v>64137811948.21583</v>
      </c>
    </row>
    <row r="7" spans="1:11" x14ac:dyDescent="0.25">
      <c r="A7" t="s">
        <v>4</v>
      </c>
      <c r="B7" s="9">
        <f>Assumptions!B7</f>
        <v>0.0857717342657537</v>
      </c>
      <c r="C7" s="9">
        <f>Assumptions!B7</f>
        <v>0.0857717342657537</v>
      </c>
      <c r="D7" s="9">
        <f>Assumptions!B7</f>
        <v>0.0857717342657537</v>
      </c>
      <c r="E7" s="9">
        <f>Assumptions!B7</f>
        <v>0.0857717342657537</v>
      </c>
      <c r="F7" s="9">
        <f>Assumptions!B7</f>
        <v>0.0857717342657537</v>
      </c>
      <c r="G7" s="9">
        <f>Assumptions!B7</f>
        <v>0.0857717342657537</v>
      </c>
      <c r="H7" s="9">
        <f>Assumptions!B7</f>
        <v>0.0857717342657537</v>
      </c>
      <c r="I7" s="9">
        <f>Assumptions!B7</f>
        <v>0.0857717342657537</v>
      </c>
      <c r="J7" s="9">
        <f>Assumptions!B7</f>
        <v>0.0857717342657537</v>
      </c>
      <c r="K7" s="9">
        <f>Assumptions!B7</f>
        <v>0.0857717342657537</v>
      </c>
    </row>
    <row r="8" spans="1:11" x14ac:dyDescent="0.25">
      <c r="A8" t="s">
        <v>51</v>
      </c>
      <c r="B8" s="18">
        <f>B6*B7</f>
        <v>3229948563.3359103</v>
      </c>
      <c r="C8" s="18">
        <f>C6*C7</f>
        <v>3544608725.1657605</v>
      </c>
      <c r="D8" s="18">
        <f>D6*D7</f>
        <v>3857835566.219378</v>
      </c>
      <c r="E8" s="18">
        <f>E6*E7</f>
        <v>4163818515.664021</v>
      </c>
      <c r="F8" s="18">
        <f>F6*F7</f>
        <v>4456377664.20998</v>
      </c>
      <c r="G8" s="18">
        <f>G6*G7</f>
        <v>4729151556.471328</v>
      </c>
      <c r="H8" s="18">
        <f>H6*H7</f>
        <v>4975811495.155521</v>
      </c>
      <c r="I8" s="18">
        <f>I6*I7</f>
        <v>5190293299.991455</v>
      </c>
      <c r="J8" s="18">
        <f>J6*J7</f>
        <v>5367035475.911465</v>
      </c>
      <c r="K8" s="18">
        <f>K6*K7</f>
        <v>5501211362.809251</v>
      </c>
    </row>
    <row r="9" spans="1:11" x14ac:dyDescent="0.25">
      <c r="A9" t="s">
        <v>52</v>
      </c>
      <c r="B9" s="18">
        <f>B8*(1-Assumptions!B8)</f>
        <v>2551659365.0353694</v>
      </c>
      <c r="C9" s="18">
        <f>C8*(1-Assumptions!B8)</f>
        <v>2800240892.880951</v>
      </c>
      <c r="D9" s="18">
        <f>D8*(1-Assumptions!B8)</f>
        <v>3047690097.3133087</v>
      </c>
      <c r="E9" s="18">
        <f>E8*(1-Assumptions!B8)</f>
        <v>3289416627.3745766</v>
      </c>
      <c r="F9" s="18">
        <f>F8*(1-Assumptions!B8)</f>
        <v>3520538354.7258844</v>
      </c>
      <c r="G9" s="18">
        <f>G8*(1-Assumptions!B8)</f>
        <v>3736029729.612349</v>
      </c>
      <c r="H9" s="18">
        <f>H8*(1-Assumptions!B8)</f>
        <v>3930891081.172862</v>
      </c>
      <c r="I9" s="18">
        <f>I8*(1-Assumptions!B8)</f>
        <v>4100331706.99325</v>
      </c>
      <c r="J9" s="18">
        <f>J8*(1-Assumptions!B8)</f>
        <v>4239958025.9700575</v>
      </c>
      <c r="K9" s="18">
        <f>K8*(1-Assumptions!B8)</f>
        <v>4345956976.619308</v>
      </c>
    </row>
    <row r="10" spans="1:11" x14ac:dyDescent="0.25">
      <c r="A10" t="s">
        <v>53</v>
      </c>
      <c r="B10" s="18">
        <f>B6*Assumptions!B9</f>
        <v>1148880684.8612528</v>
      </c>
      <c r="C10" s="18">
        <f>C6*Assumptions!B9</f>
        <v>1260804133.527031</v>
      </c>
      <c r="D10" s="18">
        <f>D6*Assumptions!B9</f>
        <v>1372217755.3263023</v>
      </c>
      <c r="E10" s="18">
        <f>E6*Assumptions!B9</f>
        <v>1481054751.8358557</v>
      </c>
      <c r="F10" s="18">
        <f>F6*Assumptions!B9</f>
        <v>1585116952.3177</v>
      </c>
      <c r="G10" s="18">
        <f>G6*Assumptions!B9</f>
        <v>1682141610.7629793</v>
      </c>
      <c r="H10" s="18">
        <f>H6*Assumptions!B9</f>
        <v>1769877633.0947564</v>
      </c>
      <c r="I10" s="18">
        <f>I6*Assumptions!B9</f>
        <v>1846168012.9563127</v>
      </c>
      <c r="J10" s="18">
        <f>J6*Assumptions!B9</f>
        <v>1909034547.2472277</v>
      </c>
      <c r="K10" s="18">
        <f>K6*Assumptions!B9</f>
        <v>1956760410.9284081</v>
      </c>
    </row>
    <row r="11" spans="1:11" x14ac:dyDescent="0.25">
      <c r="A11" t="s">
        <v>54</v>
      </c>
      <c r="B11" s="18">
        <f>-B6*B19</f>
        <v>-1321204976.461442</v>
      </c>
      <c r="C11" s="18">
        <f>-C6*C19</f>
        <v>-1485570664.2365134</v>
      </c>
      <c r="D11" s="18">
        <f>-D6*D19</f>
        <v>-1655651422.022548</v>
      </c>
      <c r="E11" s="18">
        <f>-E6*E19</f>
        <v>-1828851851.282536</v>
      </c>
      <c r="F11" s="18">
        <f>-F6*F19</f>
        <v>-2002176826.5160358</v>
      </c>
      <c r="G11" s="18">
        <f>-G6*G19</f>
        <v>-2172299180.733205</v>
      </c>
      <c r="H11" s="18">
        <f>-H6*H19</f>
        <v>-2335651169.3953395</v>
      </c>
      <c r="I11" s="18">
        <f>-I6*I19</f>
        <v>-2488537237.0495863</v>
      </c>
      <c r="J11" s="18">
        <f>-J6*J19</f>
        <v>-2627263908.702388</v>
      </c>
      <c r="K11" s="18">
        <f>-K6*K19</f>
        <v>-2748281048.6296515</v>
      </c>
    </row>
    <row r="12" spans="1:11" x14ac:dyDescent="0.25">
      <c r="A12" t="s">
        <v>55</v>
      </c>
      <c r="B12" s="18">
        <f>-(B6-Assumptions!B29)*Assumptions!B11</f>
        <v>-873934537.3841436</v>
      </c>
      <c r="C12" s="18">
        <f>-(C6-B6)*Assumptions!B11</f>
        <v>-804037745.188668</v>
      </c>
      <c r="D12" s="18">
        <f>-(D6-C6)*Assumptions!B11</f>
        <v>-800375241.4946759</v>
      </c>
      <c r="E12" s="18">
        <f>-(E6-D6)*Assumptions!B11</f>
        <v>-781865232.9769131</v>
      </c>
      <c r="F12" s="18">
        <f>-(F6-E6)*Assumptions!B11</f>
        <v>-747563964.7652863</v>
      </c>
      <c r="G12" s="18">
        <f>-(G6-F6)*Assumptions!B11</f>
        <v>-697007539.8319637</v>
      </c>
      <c r="H12" s="18">
        <f>-(H6-G6)*Assumptions!B11</f>
        <v>-630279663.541443</v>
      </c>
      <c r="I12" s="18">
        <f>-(I6-H6)*Assumptions!B11</f>
        <v>-548056245.0022883</v>
      </c>
      <c r="J12" s="18">
        <f>-(J6-I6)*Assumptions!B11</f>
        <v>-451621774.3614677</v>
      </c>
      <c r="K12" s="18">
        <f>-(K6-J6)*Assumptions!B11</f>
        <v>-342853944.1809672</v>
      </c>
    </row>
    <row r="13" spans="1:11" x14ac:dyDescent="0.25">
      <c r="A13" s="19" t="s">
        <v>56</v>
      </c>
      <c r="B13" s="20">
        <f>B9+B10+B11+B12</f>
        <v>1505400536.0510366</v>
      </c>
      <c r="C13" s="20">
        <f>C9+C10+C11+C12</f>
        <v>1771436616.9828007</v>
      </c>
      <c r="D13" s="20">
        <f>D9+D10+D11+D12</f>
        <v>1963881189.1223876</v>
      </c>
      <c r="E13" s="20">
        <f>E9+E10+E11+E12</f>
        <v>2159754294.950983</v>
      </c>
      <c r="F13" s="20">
        <f>F9+F10+F11+F12</f>
        <v>2355914515.7622623</v>
      </c>
      <c r="G13" s="20">
        <f>G9+G10+G11+G12</f>
        <v>2548864619.8101597</v>
      </c>
      <c r="H13" s="20">
        <f>H9+H10+H11+H12</f>
        <v>2734837881.330836</v>
      </c>
      <c r="I13" s="20">
        <f>I9+I10+I11+I12</f>
        <v>2909906237.8976874</v>
      </c>
      <c r="J13" s="20">
        <f>J9+J10+J11+J12</f>
        <v>3070106890.1534295</v>
      </c>
      <c r="K13" s="20">
        <f>K9+K10+K11+K12</f>
        <v>3211582394.7370973</v>
      </c>
    </row>
    <row r="14" spans="1:11" x14ac:dyDescent="0.25">
      <c r="A14" t="s">
        <v>57</v>
      </c>
      <c r="B14" s="21">
        <f>1/(1+Assumptions!$B$26)^(1-0.5*Assumptions!$B$32)</f>
        <v>0.9569517823538481</v>
      </c>
      <c r="C14" s="21">
        <f>1/(1+Assumptions!$B$26)^(2-0.5*Assumptions!$B$32)</f>
        <v>0.8763350194257628</v>
      </c>
      <c r="D14" s="21">
        <f>1/(1+Assumptions!$B$26)^(3-0.5*Assumptions!$B$32)</f>
        <v>0.80250967753356</v>
      </c>
      <c r="E14" s="21">
        <f>1/(1+Assumptions!$B$26)^(4-0.5*Assumptions!$B$32)</f>
        <v>0.7349036250508708</v>
      </c>
      <c r="F14" s="21">
        <f>1/(1+Assumptions!$B$26)^(5-0.5*Assumptions!$B$32)</f>
        <v>0.6729929285996994</v>
      </c>
      <c r="G14" s="21">
        <f>1/(1+Assumptions!$B$26)^(6-0.5*Assumptions!$B$32)</f>
        <v>0.6162977926715882</v>
      </c>
      <c r="H14" s="21">
        <f>1/(1+Assumptions!$B$26)^(7-0.5*Assumptions!$B$32)</f>
        <v>0.5643788413084396</v>
      </c>
      <c r="I14" s="21">
        <f>1/(1+Assumptions!$B$26)^(8-0.5*Assumptions!$B$32)</f>
        <v>0.5168337130267661</v>
      </c>
      <c r="J14" s="21">
        <f>1/(1+Assumptions!$B$26)^(9-0.5*Assumptions!$B$32)</f>
        <v>0.47329394259670854</v>
      </c>
      <c r="K14" s="21">
        <f>1/(1+Assumptions!$B$26)^(10-0.5*Assumptions!$B$32)</f>
        <v>0.4334221055102408</v>
      </c>
    </row>
    <row r="15" spans="1:11" x14ac:dyDescent="0.25">
      <c r="A15" s="19" t="s">
        <v>58</v>
      </c>
      <c r="B15" s="20">
        <f>B13*B14</f>
        <v>1440595726.130478</v>
      </c>
      <c r="C15" s="20">
        <f>C13*C14</f>
        <v>1552371942.1551301</v>
      </c>
      <c r="D15" s="20">
        <f>D13*D14</f>
        <v>1576033659.7968316</v>
      </c>
      <c r="E15" s="20">
        <f>E13*E14</f>
        <v>1587211260.578665</v>
      </c>
      <c r="F15" s="20">
        <f>F13*F14</f>
        <v>1585513809.4933877</v>
      </c>
      <c r="G15" s="20">
        <f>G13*G14</f>
        <v>1570859639.0077083</v>
      </c>
      <c r="H15" s="20">
        <f>H13*H14</f>
        <v>1543484634.631925</v>
      </c>
      <c r="I15" s="20">
        <f>I13*I14</f>
        <v>1503937645.49241</v>
      </c>
      <c r="J15" s="20">
        <f>J13*J14</f>
        <v>1453062994.2340367</v>
      </c>
      <c r="K15" s="20">
        <f>K13*K14</f>
        <v>1391970803.5465739</v>
      </c>
    </row>
    <row r="17" spans="1:2" x14ac:dyDescent="0.25">
      <c r="A17" s="22" t="s">
        <v>59</v>
      </c>
      <c r="B17" s="23">
        <f>SUM(B15:K15)</f>
        <v>15205042115.067146</v>
      </c>
    </row>
    <row r="19" spans="1:11" x14ac:dyDescent="0.25">
      <c r="A19" t="s">
        <v>7</v>
      </c>
      <c r="B19" s="9">
        <f>Assumptions!$B$10+($B$20-Assumptions!$B$10)*0/9</f>
        <v>0.035084782289722435</v>
      </c>
      <c r="C19" s="9">
        <f>Assumptions!$B$10+($B$20-Assumptions!$B$10)*1/9</f>
        <v>0.03594754234543469</v>
      </c>
      <c r="D19" s="9">
        <f>Assumptions!$B$10+($B$20-Assumptions!$B$10)*2/9</f>
        <v>0.03681030240114694</v>
      </c>
      <c r="E19" s="9">
        <f>Assumptions!$B$10+($B$20-Assumptions!$B$10)*3/9</f>
        <v>0.03767306245685919</v>
      </c>
      <c r="F19" s="9">
        <f>Assumptions!$B$10+($B$20-Assumptions!$B$10)*4/9</f>
        <v>0.03853582251257144</v>
      </c>
      <c r="G19" s="9">
        <f>Assumptions!$B$10+($B$20-Assumptions!$B$10)*5/9</f>
        <v>0.039398582568283685</v>
      </c>
      <c r="H19" s="9">
        <f>Assumptions!$B$10+($B$20-Assumptions!$B$10)*6/9</f>
        <v>0.04026134262399594</v>
      </c>
      <c r="I19" s="9">
        <f>Assumptions!$B$10+($B$20-Assumptions!$B$10)*7/9</f>
        <v>0.04112410267970819</v>
      </c>
      <c r="J19" s="9">
        <f>Assumptions!$B$10+($B$20-Assumptions!$B$10)*8/9</f>
        <v>0.04198686273542044</v>
      </c>
      <c r="K19" s="9">
        <f>Assumptions!$B$10+($B$20-Assumptions!$B$10)*9/9</f>
        <v>0.04284962279113269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0.04284962279113269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3211582394.7370973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4345956976.619308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0.18212804267495586</v>
      </c>
    </row>
    <row r="7" spans="1:2" x14ac:dyDescent="0.25">
      <c r="A7" t="s">
        <v>66</v>
      </c>
      <c r="B7" s="18">
        <f>-MAX(B5,0)*B6</f>
        <v>-791520637.7012435</v>
      </c>
    </row>
    <row r="8" spans="1:2" x14ac:dyDescent="0.25">
      <c r="A8" t="s">
        <v>67</v>
      </c>
      <c r="B8" s="18">
        <f>IF(OR(Assumptions!$B$33=0,Assumptions!B12&lt;=0),B5,MAX(B5+B7,0))</f>
        <v>3554436338.918065</v>
      </c>
    </row>
    <row r="9" spans="1:2" x14ac:dyDescent="0.25">
      <c r="A9" t="s">
        <v>68</v>
      </c>
      <c r="B9" s="18">
        <f>B8*(1+Assumptions!B12)/(Assumptions!B26-Assumptions!B12)</f>
        <v>54383182764.07211</v>
      </c>
    </row>
    <row r="10" spans="1:2" x14ac:dyDescent="0.25">
      <c r="A10" t="s">
        <v>69</v>
      </c>
      <c r="B10" s="18">
        <f>B9/(1+Assumptions!B26)^(10-0.5*Assumptions!B32)</f>
        <v>23570873577.952374</v>
      </c>
    </row>
    <row r="11" spans="1:2" x14ac:dyDescent="0.25">
      <c r="A11" t="s">
        <v>70</v>
      </c>
      <c r="B11" s="18">
        <f>Forecast!B17+B10</f>
        <v>38775915693.019516</v>
      </c>
    </row>
    <row r="12" spans="1:2" x14ac:dyDescent="0.25">
      <c r="A12" t="s">
        <v>71</v>
      </c>
      <c r="B12" s="18">
        <f>-Assumptions!B30</f>
        <v>-4505000000</v>
      </c>
    </row>
    <row r="13" spans="1:2" x14ac:dyDescent="0.25">
      <c r="A13" t="s">
        <v>72</v>
      </c>
      <c r="B13" s="18">
        <f>B11+B12</f>
        <v>34270915693.019516</v>
      </c>
    </row>
    <row r="14" spans="1:2" x14ac:dyDescent="0.25">
      <c r="A14" s="19" t="s">
        <v>73</v>
      </c>
      <c r="B14" s="24">
        <f>B13/Assumptions!B31</f>
        <v>247.0866308076389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7457971773.737659</v>
      </c>
    </row>
    <row r="18" spans="1:2" x14ac:dyDescent="0.25">
      <c r="A18" t="s">
        <v>68</v>
      </c>
      <c r="B18" s="18">
        <f>B17*Assumptions!B13</f>
        <v>110173660163.21204</v>
      </c>
    </row>
    <row r="19" spans="1:2" x14ac:dyDescent="0.25">
      <c r="A19" t="s">
        <v>69</v>
      </c>
      <c r="B19" s="18">
        <f>B18/(1+Assumptions!B26)^(10-0.5*Assumptions!B32)</f>
        <v>47751699759.7091</v>
      </c>
    </row>
    <row r="20" spans="1:2" x14ac:dyDescent="0.25">
      <c r="A20" t="s">
        <v>70</v>
      </c>
      <c r="B20" s="18">
        <f>Forecast!B17+B19</f>
        <v>62956741874.776245</v>
      </c>
    </row>
    <row r="21" spans="1:2" x14ac:dyDescent="0.25">
      <c r="A21" t="s">
        <v>71</v>
      </c>
      <c r="B21" s="18">
        <f>-Assumptions!B30</f>
        <v>-4505000000</v>
      </c>
    </row>
    <row r="22" spans="1:2" x14ac:dyDescent="0.25">
      <c r="A22" t="s">
        <v>72</v>
      </c>
      <c r="B22" s="18">
        <f>B20+B21</f>
        <v>58451741874.776245</v>
      </c>
    </row>
    <row r="23" spans="1:2" x14ac:dyDescent="0.25">
      <c r="A23" s="19" t="s">
        <v>73</v>
      </c>
      <c r="B23" s="25">
        <f>B22/Assumptions!B31</f>
        <v>421.4256804237653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500.6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247.0866308076389</v>
      </c>
    </row>
    <row r="29" spans="1:2" x14ac:dyDescent="0.25">
      <c r="A29" s="19" t="s">
        <v>81</v>
      </c>
      <c r="B29" s="11">
        <f>B28/B26-1</f>
        <v>-0.5064190355420717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0.071993</v>
      </c>
      <c r="B5" s="31">
        <v>350.97987756244333</v>
      </c>
      <c r="C5" s="31">
        <v>362.2987833152251</v>
      </c>
      <c r="D5" s="31">
        <v>376.5806004109495</v>
      </c>
      <c r="E5" s="31">
        <v>394.8836878652657</v>
      </c>
      <c r="F5" s="31">
        <v>418.8385989011854</v>
      </c>
    </row>
    <row r="6" spans="1:6" x14ac:dyDescent="0.25">
      <c r="A6" s="30">
        <v>0.081993</v>
      </c>
      <c r="B6" s="31">
        <v>288.30225337599734</v>
      </c>
      <c r="C6" s="31">
        <v>293.61482048683746</v>
      </c>
      <c r="D6" s="31">
        <v>300.2914301046659</v>
      </c>
      <c r="E6" s="31">
        <v>308.725609004334</v>
      </c>
      <c r="F6" s="31">
        <v>319.47836710705513</v>
      </c>
    </row>
    <row r="7" spans="1:6" x14ac:dyDescent="0.25">
      <c r="A7" s="30">
        <v>0.091993</v>
      </c>
      <c r="B7" s="31">
        <v>242.26061744095392</v>
      </c>
      <c r="C7" s="31">
        <v>244.3445227912701</v>
      </c>
      <c r="D7" s="32">
        <v>247.08701943664238</v>
      </c>
      <c r="E7" s="31">
        <v>250.64746197236124</v>
      </c>
      <c r="F7" s="31">
        <v>255.2411257542635</v>
      </c>
    </row>
    <row r="8" spans="1:6" x14ac:dyDescent="0.25">
      <c r="A8" s="30">
        <v>0.101993</v>
      </c>
      <c r="B8" s="31">
        <v>207.09197598384293</v>
      </c>
      <c r="C8" s="31">
        <v>207.3602044524957</v>
      </c>
      <c r="D8" s="31">
        <v>207.94952275986148</v>
      </c>
      <c r="E8" s="31">
        <v>208.92683112652713</v>
      </c>
      <c r="F8" s="31">
        <v>210.37900207483816</v>
      </c>
    </row>
    <row r="9" spans="1:6" x14ac:dyDescent="0.25">
      <c r="A9" s="30">
        <v>0.111993</v>
      </c>
      <c r="B9" s="31">
        <v>179.41220729930436</v>
      </c>
      <c r="C9" s="31">
        <v>178.6355032539339</v>
      </c>
      <c r="D9" s="31">
        <v>178.00953860781405</v>
      </c>
      <c r="E9" s="31">
        <v>177.5618899953985</v>
      </c>
      <c r="F9" s="31">
        <v>177.3272974645559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33670000000</v>
      </c>
      <c r="C5" s="18">
        <v>34102000000</v>
      </c>
      <c r="D5" s="18">
        <v>34065000000</v>
      </c>
      <c r="E5" s="18">
        <v>28074000000</v>
      </c>
      <c r="F5" s="6" t="s">
        <v>91</v>
      </c>
    </row>
    <row r="6" spans="1:6" x14ac:dyDescent="0.25">
      <c r="A6" t="s">
        <v>51</v>
      </c>
      <c r="B6" s="18">
        <v>3865000000</v>
      </c>
      <c r="C6" s="18">
        <v>3372000000</v>
      </c>
      <c r="D6" s="18">
        <v>1278000000</v>
      </c>
      <c r="E6" s="18">
        <v>2580000000</v>
      </c>
      <c r="F6" s="6" t="s">
        <v>92</v>
      </c>
    </row>
    <row r="7" spans="1:6" x14ac:dyDescent="0.25">
      <c r="A7" t="s">
        <v>93</v>
      </c>
      <c r="B7" s="18">
        <v>1105000000</v>
      </c>
      <c r="C7" s="18">
        <v>1065000000</v>
      </c>
      <c r="D7" s="18">
        <v>1024000000</v>
      </c>
      <c r="E7" s="18">
        <v>784000000</v>
      </c>
      <c r="F7" s="6" t="s">
        <v>94</v>
      </c>
    </row>
    <row r="8" spans="1:6" x14ac:dyDescent="0.25">
      <c r="A8" t="s">
        <v>95</v>
      </c>
      <c r="B8" s="18">
        <v>1235000000</v>
      </c>
      <c r="C8" s="18">
        <v>1208000000</v>
      </c>
      <c r="D8" s="18">
        <v>1213000000</v>
      </c>
      <c r="E8" s="18">
        <v>916000000</v>
      </c>
      <c r="F8" s="6" t="s">
        <v>96</v>
      </c>
    </row>
    <row r="9" spans="1:6" x14ac:dyDescent="0.25">
      <c r="A9" t="s">
        <v>97</v>
      </c>
      <c r="B9" s="18">
        <v>861000000</v>
      </c>
      <c r="C9" s="18">
        <v>2165000000</v>
      </c>
      <c r="D9" s="18">
        <v>-2418000000</v>
      </c>
      <c r="E9" s="18">
        <v>1005000000</v>
      </c>
      <c r="F9" s="6" t="s">
        <v>98</v>
      </c>
    </row>
    <row r="10" spans="1:6" x14ac:dyDescent="0.25">
      <c r="A10" t="s">
        <v>99</v>
      </c>
      <c r="B10" s="18">
        <v>8114000000</v>
      </c>
      <c r="C10" s="18">
        <v>7598000000</v>
      </c>
      <c r="D10" s="18">
        <v>7208000000</v>
      </c>
      <c r="E10" s="18">
        <v>8355000000</v>
      </c>
      <c r="F10" s="6" t="s">
        <v>100</v>
      </c>
    </row>
    <row r="11" spans="1:6" x14ac:dyDescent="0.25">
      <c r="A11" t="s">
        <v>101</v>
      </c>
      <c r="B11" s="18">
        <v>3609000000</v>
      </c>
      <c r="C11" s="18">
        <v>2264000000</v>
      </c>
      <c r="D11" s="18">
        <v>2741000000</v>
      </c>
      <c r="E11" s="18">
        <v>2573000000</v>
      </c>
      <c r="F11" s="6" t="s">
        <v>102</v>
      </c>
    </row>
    <row r="12" spans="1:6" x14ac:dyDescent="0.25">
      <c r="A12" t="s">
        <v>34</v>
      </c>
      <c r="B12" s="34">
        <v>138700000</v>
      </c>
      <c r="C12" s="34">
        <v>139100000</v>
      </c>
      <c r="D12" s="34">
        <v>142700000</v>
      </c>
      <c r="E12" s="34">
        <v>142300000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