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<sst xmlns="http://schemas.openxmlformats.org/spreadsheetml/2006/main" count="113" uniqueCount="101">
  <si>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Capricorn Metals Ltd (CMM.AX)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</si>
  <si>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</si>
  <si>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</si>
  <si>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</si>
  <si>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</si>
  <si>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</si>
  <si>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</si>
  <si>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</si>
  <si>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</si>
  <si>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</si>
  <si>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</si>
  <si>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</si>
  <si>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</si>
  <si>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</si>
  <si>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</si>
  <si>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</si>
  <si>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</si>
  <si>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</si>
  <si>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</si>
  <si>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</si>
  <si>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</si>
  <si>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</si>
  <si>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</si>
  <si>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</si>
  <si>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</si>
  <si>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</si>
  <si>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</si>
  <si>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</si>
  <si>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</si>
  <si>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</si>
  <si>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</si>
  <si>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</si>
  <si>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</si>
  <si>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</si>
  <si>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</si>
  <si>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</si>
  <si>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</si>
  <si>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</si>
  <si>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</si>
  <si>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</si>
  <si>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</si>
  <si>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</si>
  <si>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</si>
  <si>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</si>
  <si>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</si>
  <si>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</si>
  <si>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</si>
  <si>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</si>
  <si>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</si>
  <si>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</si>
  <si>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</si>
  <si>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</si>
  <si>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</si>
  <si>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</si>
  <si>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</si>
  <si>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</si>
  <si>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</si>
  <si>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</si>
  <si>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</si>
  <si>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</si>
  <si>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</si>
  <si>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</si>
  <si>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</si>
  <si>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</si>
  <si>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</si>
  <si>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</si>
  <si>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</si>
  <si>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</si>
  <si>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</si>
  <si>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</si>
  <si>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</si>
  <si>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</si>
  <si>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</si>
  <si>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</si>
  <si>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</si>
  <si>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</si>
  <si>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</si>
  <si>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</si>
  <si>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</si>
  <si>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</si>
  <si>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2024-06-30</t>
  </si>
  <si>
    <t>2023-06-30</t>
  </si>
  <si>
    <t>2022-06-30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</si>
  <si>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</si>
  <si>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</si>
  <si>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</si>
  <si>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</si>
  <si>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</si>
  <si>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</si>
  <si>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</si>
  <si>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</si>
  <si>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</si>
  <si>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</si>
  <si>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</si>
  <si>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</si>
  <si>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</si>
  <si>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</si>
  <si>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</si>
  <si>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</si>
  <si>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Capital expenditure runs at 25.6% of revenue against depreciation of 7.5%.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</si>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</sst>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0.3534086561079839</v>
      </c>
    </row>
    <row r="7" spans="1:2" x14ac:dyDescent="0.25">
      <c r="A7" t="s">
        <v>5</v>
      </c>
      <c r="B7" s="6">
        <v>0.46508686624694656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0.07450176209889911</v>
      </c>
    </row>
    <row r="10" spans="1:2" x14ac:dyDescent="0.25">
      <c r="A10" t="s">
        <v>8</v>
      </c>
      <c r="B10" s="6">
        <v>0.2556799625524575</v>
      </c>
    </row>
    <row r="11" spans="1:2" x14ac:dyDescent="0.25">
      <c r="A11" t="s">
        <v>9</v>
      </c>
      <c r="B11" s="6">
        <v>-0.21497677446078287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15.123454366915572</v>
      </c>
    </row>
    <row r="14" spans="1:3" x14ac:dyDescent="0.25">
      <c r="A14" t="s">
        <v>12</v>
      </c>
      <c r="B14" s="6">
        <v>0.2718766656708168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1.17822</v>
      </c>
      <c r="C19" s="8" t="s">
        <v>19</v>
      </c>
    </row>
    <row r="20" spans="1:2" x14ac:dyDescent="0.25">
      <c r="A20" t="s">
        <v>20</v>
      </c>
      <c r="B20" s="10">
        <f>B17+B19*B18</f>
        <v>0.1241732</v>
      </c>
    </row>
    <row r="21" spans="1:3" x14ac:dyDescent="0.25">
      <c r="A21" t="s">
        <v>21</v>
      </c>
      <c r="B21" s="6">
        <v>0.07611100004514294</v>
      </c>
      <c r="C21" s="8" t="s">
        <v>22</v>
      </c>
    </row>
    <row r="22" spans="1:2" x14ac:dyDescent="0.25">
      <c r="A22" t="s">
        <v>23</v>
      </c>
      <c r="B22" s="11">
        <v>6907435008</v>
      </c>
    </row>
    <row r="23" spans="1:2" x14ac:dyDescent="0.25">
      <c r="A23" t="s">
        <v>24</v>
      </c>
      <c r="B23" s="11">
        <v>20295000</v>
      </c>
    </row>
    <row r="24" spans="1:2" x14ac:dyDescent="0.25">
      <c r="A24" t="s">
        <v>25</v>
      </c>
      <c r="B24" s="10">
        <f>B22/(B22+B23)</f>
        <v>0.9970704689737383</v>
      </c>
    </row>
    <row r="25" spans="1:2" x14ac:dyDescent="0.25">
      <c r="A25" t="s">
        <v>26</v>
      </c>
      <c r="B25" s="10">
        <f>1-B24</f>
        <v>0.0029295310262617003</v>
      </c>
    </row>
    <row r="26" spans="1:2" x14ac:dyDescent="0.25">
      <c r="A26" t="s">
        <v>27</v>
      </c>
      <c r="B26" s="12">
        <f>B24*B20+B25*B21*(1-B8)</f>
        <v>0.12396550943322024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711361000</v>
      </c>
      <c r="C29" s="8" t="s">
        <v>30</v>
      </c>
    </row>
    <row r="30" spans="1:2" x14ac:dyDescent="0.25">
      <c r="A30" t="s">
        <v>31</v>
      </c>
      <c r="B30" s="11">
        <v>-485124000</v>
      </c>
    </row>
    <row r="31" spans="1:2" x14ac:dyDescent="0.25">
      <c r="A31" t="s">
        <v>32</v>
      </c>
      <c r="B31" s="13">
        <v>447713787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0.3534086561079839</v>
      </c>
      <c r="C5" s="10">
        <f>Assumptions!B6</f>
        <v>0.3534086561079839</v>
      </c>
      <c r="D5" s="10">
        <f>Assumptions!B6</f>
        <v>0.3534086561079839</v>
      </c>
      <c r="E5" s="10">
        <f>Assumptions!B6</f>
        <v>0.3534086561079839</v>
      </c>
      <c r="F5" s="10">
        <f>Assumptions!B6</f>
        <v>0.3534086561079839</v>
      </c>
    </row>
    <row r="6" spans="1:6" x14ac:dyDescent="0.25">
      <c r="A6" t="s">
        <v>43</v>
      </c>
      <c r="B6" s="18">
        <f>Assumptions!B29*(1+B5)</f>
        <v>962762135.0176315</v>
      </c>
      <c r="C6" s="18">
        <f>B6*(1+C5)</f>
        <v>1303010607.305866</v>
      </c>
      <c r="D6" s="18">
        <f>C6*(1+D5)</f>
        <v>1763505834.92828</v>
      </c>
      <c r="E6" s="18">
        <f>D6*(1+E5)</f>
        <v>2386744062.0888715</v>
      </c>
      <c r="F6" s="18">
        <f>E6*(1+F5)</f>
        <v>3230240073.54541</v>
      </c>
    </row>
    <row r="7" spans="1:6" x14ac:dyDescent="0.25">
      <c r="A7" t="s">
        <v>5</v>
      </c>
      <c r="B7" s="10">
        <f>Assumptions!B7</f>
        <v>0.46508686624694656</v>
      </c>
      <c r="C7" s="10">
        <f>Assumptions!B7</f>
        <v>0.46508686624694656</v>
      </c>
      <c r="D7" s="10">
        <f>Assumptions!B7</f>
        <v>0.46508686624694656</v>
      </c>
      <c r="E7" s="10">
        <f>Assumptions!B7</f>
        <v>0.46508686624694656</v>
      </c>
      <c r="F7" s="10">
        <f>Assumptions!B7</f>
        <v>0.46508686624694656</v>
      </c>
    </row>
    <row r="8" spans="1:6" x14ac:dyDescent="0.25">
      <c r="A8" t="s">
        <v>44</v>
      </c>
      <c r="B8" s="18">
        <f>B6*B7</f>
        <v>447768024.3165699</v>
      </c>
      <c r="C8" s="18">
        <f>C6*C7</f>
        <v>606013120.0384159</v>
      </c>
      <c r="D8" s="18">
        <f>D6*D7</f>
        <v>820183402.3749988</v>
      </c>
      <c r="E8" s="18">
        <f>E6*E7</f>
        <v>1110043316.370421</v>
      </c>
      <c r="F8" s="18">
        <f>F6*F7</f>
        <v>1502342233.030541</v>
      </c>
    </row>
    <row r="9" spans="1:6" x14ac:dyDescent="0.25">
      <c r="A9" t="s">
        <v>45</v>
      </c>
      <c r="B9" s="18">
        <f>B8*(1-Assumptions!B8)</f>
        <v>313437617.02159894</v>
      </c>
      <c r="C9" s="18">
        <f>C8*(1-Assumptions!B8)</f>
        <v>424209184.0268911</v>
      </c>
      <c r="D9" s="18">
        <f>D8*(1-Assumptions!B8)</f>
        <v>574128381.6624991</v>
      </c>
      <c r="E9" s="18">
        <f>E8*(1-Assumptions!B8)</f>
        <v>777030321.4592946</v>
      </c>
      <c r="F9" s="18">
        <f>F8*(1-Assumptions!B8)</f>
        <v>1051639563.1213785</v>
      </c>
    </row>
    <row r="10" spans="1:6" x14ac:dyDescent="0.25">
      <c r="A10" t="s">
        <v>46</v>
      </c>
      <c r="B10" s="18">
        <f>B6*Assumptions!B9</f>
        <v>71727475.54091176</v>
      </c>
      <c r="C10" s="18">
        <f>C6*Assumptions!B9</f>
        <v>97076586.27784368</v>
      </c>
      <c r="D10" s="18">
        <f>D6*Assumptions!B9</f>
        <v>131384292.17384717</v>
      </c>
      <c r="E10" s="18">
        <f>E6*Assumptions!B9</f>
        <v>177816638.3047052</v>
      </c>
      <c r="F10" s="18">
        <f>F6*Assumptions!B9</f>
        <v>240658577.4816105</v>
      </c>
    </row>
    <row r="11" spans="1:6" x14ac:dyDescent="0.25">
      <c r="A11" t="s">
        <v>47</v>
      </c>
      <c r="B11" s="18">
        <f>-B6*Assumptions!B10</f>
        <v>-246158986.62823206</v>
      </c>
      <c r="C11" s="18">
        <f>-C6*Assumptions!B10</f>
        <v>-333153703.28141874</v>
      </c>
      <c r="D11" s="18">
        <f>-D6*Assumptions!B10</f>
        <v>-450893105.835503</v>
      </c>
      <c r="E11" s="18">
        <f>-E6*Assumptions!B10</f>
        <v>-610242632.4171829</v>
      </c>
      <c r="F11" s="18">
        <f>-F6*Assumptions!B10</f>
        <v>-825907661.039538</v>
      </c>
    </row>
    <row r="12" spans="1:6" x14ac:dyDescent="0.25">
      <c r="A12" t="s">
        <v>48</v>
      </c>
      <c r="B12" s="18">
        <f>-(B6-Assumptions!B29)*Assumptions!B11</f>
        <v>54045405.101870194</v>
      </c>
      <c r="C12" s="18">
        <f>-(C6-B6)*Assumptions!B11</f>
        <v>73145519.08773372</v>
      </c>
      <c r="D12" s="18">
        <f>-(D6-C6)*Assumptions!B11</f>
        <v>98995778.68885058</v>
      </c>
      <c r="E12" s="18">
        <f>-(E6-D6)*Assumptions!B11</f>
        <v>133981743.7956406</v>
      </c>
      <c r="F12" s="18">
        <f>-(F6-E6)*Assumptions!B11</f>
        <v>181332051.81346223</v>
      </c>
    </row>
    <row r="13" spans="1:6" x14ac:dyDescent="0.25">
      <c r="A13" s="19" t="s">
        <v>49</v>
      </c>
      <c r="B13" s="20">
        <f>B9+B10+B11+B12</f>
        <v>193051511.03614885</v>
      </c>
      <c r="C13" s="20">
        <f>C9+C10+C11+C12</f>
        <v>261277586.1110498</v>
      </c>
      <c r="D13" s="20">
        <f>D9+D10+D11+D12</f>
        <v>353615346.68969387</v>
      </c>
      <c r="E13" s="20">
        <f>E9+E10+E11+E12</f>
        <v>478586071.14245737</v>
      </c>
      <c r="F13" s="20">
        <f>F9+F10+F11+F12</f>
        <v>647722531.3769132</v>
      </c>
    </row>
    <row r="14" spans="1:6" x14ac:dyDescent="0.25">
      <c r="A14" t="s">
        <v>50</v>
      </c>
      <c r="B14" s="21">
        <f>1/(1+Assumptions!$B$26)^(1-0.5*Assumptions!$B$32)</f>
        <v>0.9432428194576523</v>
      </c>
      <c r="C14" s="21">
        <f>1/(1+Assumptions!$B$26)^(2-0.5*Assumptions!$B$32)</f>
        <v>0.8392097546954974</v>
      </c>
      <c r="D14" s="21">
        <f>1/(1+Assumptions!$B$26)^(3-0.5*Assumptions!$B$32)</f>
        <v>0.7466508070329346</v>
      </c>
      <c r="E14" s="21">
        <f>1/(1+Assumptions!$B$26)^(4-0.5*Assumptions!$B$32)</f>
        <v>0.6643004618615448</v>
      </c>
      <c r="F14" s="21">
        <f>1/(1+Assumptions!$B$26)^(5-0.5*Assumptions!$B$32)</f>
        <v>0.5910327819547864</v>
      </c>
    </row>
    <row r="15" spans="1:6" x14ac:dyDescent="0.25">
      <c r="A15" s="19" t="s">
        <v>51</v>
      </c>
      <c r="B15" s="20">
        <f>B13*B14</f>
        <v>182094451.57029712</v>
      </c>
      <c r="C15" s="20">
        <f>C13*C14</f>
        <v>219266698.9476858</v>
      </c>
      <c r="D15" s="20">
        <f>D13*D14</f>
        <v>264027183.98509088</v>
      </c>
      <c r="E15" s="20">
        <f>E13*E14</f>
        <v>317924948.10043657</v>
      </c>
      <c r="F15" s="20">
        <f>F13*F14</f>
        <v>382825249.6544934</v>
      </c>
    </row>
    <row r="17" spans="1:2" x14ac:dyDescent="0.25">
      <c r="A17" s="22" t="s">
        <v>52</v>
      </c>
      <c r="B17" s="23">
        <f>SUM(B15:F15)</f>
        <v>1366138532.2580037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647722531.3769132</v>
      </c>
    </row>
    <row r="5" spans="1:2" x14ac:dyDescent="0.25">
      <c r="A5" t="s">
        <v>56</v>
      </c>
      <c r="B5" s="18">
        <f>IF(Assumptions!$B$33=0,B4,B4-Forecast!F11-Forecast!F10-Forecast!F12)</f>
        <v>1051639563.1213785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0.09195345962595236</v>
      </c>
    </row>
    <row r="7" spans="1:2" x14ac:dyDescent="0.25">
      <c r="A7" t="s">
        <v>58</v>
      </c>
      <c r="B7" s="18">
        <f>-MAX(Forecast!F9,0)*B6</f>
        <v>-96701896.10853586</v>
      </c>
    </row>
    <row r="8" spans="1:2" x14ac:dyDescent="0.25">
      <c r="A8" t="s">
        <v>59</v>
      </c>
      <c r="B8" s="18">
        <f>IF(OR(Assumptions!$B$33=0,Assumptions!B12&lt;=0),B5,MAX(B5+B7,0))</f>
        <v>954937667.0128427</v>
      </c>
    </row>
    <row r="9" spans="1:2" x14ac:dyDescent="0.25">
      <c r="A9" t="s">
        <v>60</v>
      </c>
      <c r="B9" s="18">
        <f>B8*(1+Assumptions!B12)/(Assumptions!B26-Assumptions!B12)</f>
        <v>9890426617.251375</v>
      </c>
    </row>
    <row r="10" spans="1:2" x14ac:dyDescent="0.25">
      <c r="A10" t="s">
        <v>61</v>
      </c>
      <c r="B10" s="18">
        <f>B9/(1+Assumptions!B26)^(5-0.5*Assumptions!B32)</f>
        <v>5845566358.313747</v>
      </c>
    </row>
    <row r="11" spans="1:2" x14ac:dyDescent="0.25">
      <c r="A11" t="s">
        <v>62</v>
      </c>
      <c r="B11" s="18">
        <f>Forecast!B17+B10</f>
        <v>7211704890.571751</v>
      </c>
    </row>
    <row r="12" spans="1:2" x14ac:dyDescent="0.25">
      <c r="A12" t="s">
        <v>63</v>
      </c>
      <c r="B12" s="18">
        <f>-Assumptions!B30</f>
        <v>485124000</v>
      </c>
    </row>
    <row r="13" spans="1:2" x14ac:dyDescent="0.25">
      <c r="A13" t="s">
        <v>64</v>
      </c>
      <c r="B13" s="18">
        <f>B11+B12</f>
        <v>7696828890.571751</v>
      </c>
    </row>
    <row r="14" spans="1:2" x14ac:dyDescent="0.25">
      <c r="A14" s="19" t="s">
        <v>65</v>
      </c>
      <c r="B14" s="24">
        <f>B13/Assumptions!B31</f>
        <v>17.191404674280783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1743000810.5121515</v>
      </c>
    </row>
    <row r="18" spans="1:2" x14ac:dyDescent="0.25">
      <c r="A18" t="s">
        <v>60</v>
      </c>
      <c r="B18" s="18">
        <f>B17*Assumptions!B13</f>
        <v>26360193219.277378</v>
      </c>
    </row>
    <row r="19" spans="1:2" x14ac:dyDescent="0.25">
      <c r="A19" t="s">
        <v>61</v>
      </c>
      <c r="B19" s="18">
        <f>B18/(1+Assumptions!B26)^(5-0.5*Assumptions!B32)</f>
        <v>15579738331.255205</v>
      </c>
    </row>
    <row r="20" spans="1:2" x14ac:dyDescent="0.25">
      <c r="A20" t="s">
        <v>62</v>
      </c>
      <c r="B20" s="18">
        <f>Forecast!B17+B19</f>
        <v>16945876863.513208</v>
      </c>
    </row>
    <row r="21" spans="1:2" x14ac:dyDescent="0.25">
      <c r="A21" t="s">
        <v>63</v>
      </c>
      <c r="B21" s="18">
        <f>-Assumptions!B30</f>
        <v>485123999.9999981</v>
      </c>
    </row>
    <row r="22" spans="1:2" x14ac:dyDescent="0.25">
      <c r="A22" t="s">
        <v>64</v>
      </c>
      <c r="B22" s="18">
        <f>B20+B21</f>
        <v>17431000863.513206</v>
      </c>
    </row>
    <row r="23" spans="1:2" x14ac:dyDescent="0.25">
      <c r="A23" s="19" t="s">
        <v>65</v>
      </c>
      <c r="B23" s="25">
        <f>B22/Assumptions!B31</f>
        <v>38.93335735830982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15.11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17.191404674280783</v>
      </c>
    </row>
    <row r="29" spans="1:2" x14ac:dyDescent="0.25">
      <c r="A29" s="19" t="s">
        <v>73</v>
      </c>
      <c r="B29" s="12">
        <f>B28/B26-1</f>
        <v>0.13775014389680895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0.103966</v>
      </c>
      <c r="B5" s="31">
        <v>20.52113325579691</v>
      </c>
      <c r="C5" s="31">
        <v>21.235676439237036</v>
      </c>
      <c r="D5" s="31">
        <v>22.03720178263594</v>
      </c>
      <c r="E5" s="31">
        <v>22.94334890959613</v>
      </c>
      <c r="F5" s="31">
        <v>23.97687289875661</v>
      </c>
    </row>
    <row r="6" spans="1:6" x14ac:dyDescent="0.25">
      <c r="A6" s="30">
        <v>0.113966</v>
      </c>
      <c r="B6" s="31">
        <v>18.219079708453563</v>
      </c>
      <c r="C6" s="31">
        <v>18.748426634071247</v>
      </c>
      <c r="D6" s="31">
        <v>19.334285911919736</v>
      </c>
      <c r="E6" s="31">
        <v>19.986753119774118</v>
      </c>
      <c r="F6" s="31">
        <v>20.718480778340613</v>
      </c>
    </row>
    <row r="7" spans="1:6" x14ac:dyDescent="0.25">
      <c r="A7" s="30">
        <v>0.123966</v>
      </c>
      <c r="B7" s="31">
        <v>16.353055264935424</v>
      </c>
      <c r="C7" s="31">
        <v>16.753253797676244</v>
      </c>
      <c r="D7" s="32">
        <v>17.191310493545814</v>
      </c>
      <c r="E7" s="31">
        <v>17.673268734692268</v>
      </c>
      <c r="F7" s="31">
        <v>18.20653048567682</v>
      </c>
    </row>
    <row r="8" spans="1:6" x14ac:dyDescent="0.25">
      <c r="A8" s="30">
        <v>0.133966</v>
      </c>
      <c r="B8" s="31">
        <v>14.812460235073372</v>
      </c>
      <c r="C8" s="31">
        <v>15.119979449134847</v>
      </c>
      <c r="D8" s="31">
        <v>15.453468730891363</v>
      </c>
      <c r="E8" s="31">
        <v>15.816674988134185</v>
      </c>
      <c r="F8" s="31">
        <v>16.2141023397758</v>
      </c>
    </row>
    <row r="9" spans="1:6" x14ac:dyDescent="0.25">
      <c r="A9" s="30">
        <v>0.143966</v>
      </c>
      <c r="B9" s="31">
        <v>13.5210348257618</v>
      </c>
      <c r="C9" s="31">
        <v>13.760465936851665</v>
      </c>
      <c r="D9" s="31">
        <v>14.018040699185347</v>
      </c>
      <c r="E9" s="31">
        <v>14.296147147515828</v>
      </c>
      <c r="F9" s="31">
        <v>14.597611624830384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711361000</v>
      </c>
      <c r="C5" s="18">
        <v>359727000</v>
      </c>
      <c r="D5" s="18">
        <v>320747000</v>
      </c>
      <c r="E5" s="18">
        <v>286948000</v>
      </c>
      <c r="F5" s="8" t="s">
        <v>84</v>
      </c>
    </row>
    <row r="6" spans="1:6" x14ac:dyDescent="0.25">
      <c r="A6" t="s">
        <v>44</v>
      </c>
      <c r="B6" s="18">
        <v>408980000</v>
      </c>
      <c r="C6" s="18">
        <v>158628000</v>
      </c>
      <c r="D6" s="18">
        <v>134288000</v>
      </c>
      <c r="E6" s="18">
        <v>122177000</v>
      </c>
      <c r="F6" s="8" t="s">
        <v>85</v>
      </c>
    </row>
    <row r="7" spans="1:6" x14ac:dyDescent="0.25">
      <c r="A7" t="s">
        <v>86</v>
      </c>
      <c r="B7" s="18">
        <v>15679000</v>
      </c>
      <c r="C7" s="18">
        <v>28723000</v>
      </c>
      <c r="D7" s="18">
        <v>27510000</v>
      </c>
      <c r="E7" s="18">
        <v>31665000</v>
      </c>
      <c r="F7" s="8" t="s">
        <v>87</v>
      </c>
    </row>
    <row r="8" spans="1:6" x14ac:dyDescent="0.25">
      <c r="A8" t="s">
        <v>88</v>
      </c>
      <c r="B8" s="18">
        <v>300668000</v>
      </c>
      <c r="C8" s="18">
        <v>65640000</v>
      </c>
      <c r="D8" s="18">
        <v>47303000</v>
      </c>
      <c r="E8" s="18">
        <v>77506000</v>
      </c>
      <c r="F8" s="8" t="s">
        <v>89</v>
      </c>
    </row>
    <row r="9" spans="1:6" x14ac:dyDescent="0.25">
      <c r="A9" t="s">
        <v>90</v>
      </c>
      <c r="B9" s="18">
        <v>62935000</v>
      </c>
      <c r="C9" s="18">
        <v>-15400000</v>
      </c>
      <c r="D9" s="18">
        <v>-7266000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20295000</v>
      </c>
      <c r="C10" s="18">
        <v>134768000</v>
      </c>
      <c r="D10" s="18">
        <v>91810000</v>
      </c>
      <c r="E10" s="18">
        <v>110821000</v>
      </c>
      <c r="F10" s="8" t="s">
        <v>93</v>
      </c>
    </row>
    <row r="11" spans="1:6" x14ac:dyDescent="0.25">
      <c r="A11" t="s">
        <v>94</v>
      </c>
      <c r="B11" s="18">
        <v>505419000</v>
      </c>
      <c r="C11" s="18">
        <v>120656000</v>
      </c>
      <c r="D11" s="18">
        <v>107424000</v>
      </c>
      <c r="E11" s="18">
        <v>62850000</v>
      </c>
      <c r="F11" s="8" t="s">
        <v>95</v>
      </c>
    </row>
    <row r="12" spans="1:6" x14ac:dyDescent="0.25">
      <c r="A12" t="s">
        <v>32</v>
      </c>
      <c r="B12" s="34">
        <v>447713787</v>
      </c>
      <c r="C12" s="34">
        <v>378531712</v>
      </c>
      <c r="D12" s="34">
        <v>375982906</v>
      </c>
      <c r="E12" s="34">
        <v>374249268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2026-09-19T00:06:24Z</dcterms:modified>
</cp:coreProperties>
</file>