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<sst xmlns="http://schemas.openxmlformats.org/spreadsheetml/2006/main" count="121" uniqueCount="108">
  <si>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CMS Energy Corporation (CMS)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</si>
  <si>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</si>
  <si>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</si>
  <si>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</si>
  <si>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</si>
  <si>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</si>
  <si>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</si>
  <si>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</si>
  <si>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</si>
  <si>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</si>
  <si>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</si>
  <si>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</si>
  <si>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</si>
  <si>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</si>
  <si>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</si>
  <si>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</si>
  <si>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</si>
  <si>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</si>
  <si>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</si>
  <si>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</si>
  <si>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</si>
  <si>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</si>
  <si>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</si>
  <si>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</si>
  <si>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2.2x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</si>
  <si>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</si>
  <si>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</si>
  <si>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</si>
  <si>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</si>
  <si>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</si>
  <si>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</si>
  <si>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</si>
  <si>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</si>
  <si>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</si>
  <si>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</si>
  <si>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</si>
  <si>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</si>
  <si>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</si>
  <si>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</si>
  <si>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</si>
  <si>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</si>
  <si>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</si>
  <si>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</si>
  <si>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</si>
  <si>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</si>
  <si>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</si>
  <si>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</si>
  <si>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</si>
  <si>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</si>
  <si>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</si>
  <si>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</si>
  <si>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</si>
  <si>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</si>
  <si>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</si>
  <si>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</si>
  <si>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</si>
  <si>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</si>
  <si>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</si>
  <si>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</si>
  <si>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</si>
  <si>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</si>
  <si>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</si>
  <si>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</si>
  <si>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</si>
  <si>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</si>
  <si>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</si>
  <si>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</si>
  <si>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</si>
  <si>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</si>
  <si>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</si>
  <si>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</si>
  <si>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</si>
  <si>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</si>
  <si>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</si>
  <si>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</si>
  <si>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</si>
  <si>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</si>
  <si>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</si>
  <si>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</si>
  <si>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</si>
  <si>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</si>
  <si>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</si>
  <si>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</si>
  <si>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</si>
  <si>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</si>
  <si>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</si>
  <si>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</si>
  <si>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</si>
  <si>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</si>
  <si>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</si>
  <si>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</si>
  <si>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</si>
  <si>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</si>
  <si>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</si>
  <si>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</si>
  <si>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</si>
  <si>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</si>
  <si>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</si>
  <si>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</si>
  <si>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</si>
  <si>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</si>
  <si>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</si>
  <si>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</si>
  <si>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</si>
  <si>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</si>
  <si>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</si>
  <si>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41.0% of revenue against depreciation of 15.2%.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</si>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</sst>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0.04409282234453693</v>
      </c>
    </row>
    <row r="7" spans="1:2" x14ac:dyDescent="0.25">
      <c r="A7" t="s">
        <v>4</v>
      </c>
      <c r="B7" s="5">
        <v>0.17700411707326033</v>
      </c>
    </row>
    <row r="8" spans="1:2" x14ac:dyDescent="0.25">
      <c r="A8" t="s">
        <v>5</v>
      </c>
      <c r="B8" s="5">
        <v>0.15540555676898693</v>
      </c>
    </row>
    <row r="9" spans="1:2" x14ac:dyDescent="0.25">
      <c r="A9" t="s">
        <v>6</v>
      </c>
      <c r="B9" s="5">
        <v>0.15176858587303</v>
      </c>
    </row>
    <row r="10" spans="1:3" x14ac:dyDescent="0.25">
      <c r="A10" t="s">
        <v>7</v>
      </c>
      <c r="B10" s="5">
        <v>0.4095412542298468</v>
      </c>
      <c r="C10" s="6" t="s">
        <v>8</v>
      </c>
    </row>
    <row r="11" spans="1:2" x14ac:dyDescent="0.25">
      <c r="A11" t="s">
        <v>9</v>
      </c>
      <c r="B11" s="5">
        <v>0.12039871833211982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13.311624503791625</v>
      </c>
    </row>
    <row r="14" spans="1:3" x14ac:dyDescent="0.25">
      <c r="A14" t="s">
        <v>12</v>
      </c>
      <c r="B14" s="5">
        <v>0.0648999657093852</v>
      </c>
      <c r="C14" s="6" t="s">
        <v>13</v>
      </c>
    </row>
    <row r="15" spans="1:3" x14ac:dyDescent="0.25">
      <c r="A15" t="s">
        <v>14</v>
      </c>
      <c r="B15" s="5">
        <v>0.13597983165052585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0.54038</v>
      </c>
      <c r="C19" s="6" t="s">
        <v>21</v>
      </c>
    </row>
    <row r="20" spans="1:2" x14ac:dyDescent="0.25">
      <c r="A20" t="s">
        <v>22</v>
      </c>
      <c r="B20" s="9">
        <f>B17+B19*B18</f>
        <v>0.071798074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21985157120</v>
      </c>
    </row>
    <row r="23" spans="1:2" x14ac:dyDescent="0.25">
      <c r="A23" t="s">
        <v>26</v>
      </c>
      <c r="B23" s="10">
        <v>18898000000</v>
      </c>
    </row>
    <row r="24" spans="1:2" x14ac:dyDescent="0.25">
      <c r="A24" t="s">
        <v>27</v>
      </c>
      <c r="B24" s="9">
        <f>B22/(B22+B23)</f>
        <v>0.5377558551916453</v>
      </c>
    </row>
    <row r="25" spans="1:2" x14ac:dyDescent="0.25">
      <c r="A25" t="s">
        <v>28</v>
      </c>
      <c r="B25" s="9">
        <f>1-B24</f>
        <v>0.46224414480835474</v>
      </c>
    </row>
    <row r="26" spans="1:2" x14ac:dyDescent="0.25">
      <c r="A26" t="s">
        <v>29</v>
      </c>
      <c r="B26" s="11">
        <f>B24*B20+B25*B21*(1-B8)</f>
        <v>0.0648999657093852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8539000000</v>
      </c>
      <c r="C29" s="6" t="s">
        <v>32</v>
      </c>
    </row>
    <row r="30" spans="1:2" x14ac:dyDescent="0.25">
      <c r="A30" t="s">
        <v>33</v>
      </c>
      <c r="B30" s="10">
        <v>18389000000</v>
      </c>
    </row>
    <row r="31" spans="1:2" x14ac:dyDescent="0.25">
      <c r="A31" t="s">
        <v>34</v>
      </c>
      <c r="B31" s="12">
        <v>301000000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0.04409282234453693</v>
      </c>
      <c r="C5" s="5">
        <v>0.04934970838416364</v>
      </c>
      <c r="D5" s="5">
        <v>0.046305994836143186</v>
      </c>
      <c r="E5" s="5">
        <v>0.04326228128812273</v>
      </c>
      <c r="F5" s="5">
        <v>0.040218567740102275</v>
      </c>
      <c r="G5" s="5">
        <v>0.037174854192081816</v>
      </c>
      <c r="H5" s="5">
        <v>0.034131140644061364</v>
      </c>
      <c r="I5" s="5">
        <v>0.031087427096040912</v>
      </c>
      <c r="J5" s="5">
        <v>0.028043713548020457</v>
      </c>
      <c r="K5" s="5">
        <v>0.025</v>
      </c>
    </row>
    <row r="6" spans="1:11" x14ac:dyDescent="0.25">
      <c r="A6" t="s">
        <v>50</v>
      </c>
      <c r="B6" s="18">
        <f>Assumptions!B29*(1+B5)</f>
        <v>8915508610</v>
      </c>
      <c r="C6" s="18">
        <f>B6*(1+C5)</f>
        <v>9355486360</v>
      </c>
      <c r="D6" s="18">
        <f>C6*(1+D5)</f>
        <v>9788701463.07577</v>
      </c>
      <c r="E6" s="18">
        <f>D6*(1+E5)</f>
        <v>10212183019.216812</v>
      </c>
      <c r="F6" s="18">
        <f>E6*(1+F5)</f>
        <v>10622902393.749506</v>
      </c>
      <c r="G6" s="18">
        <f>F6*(1+G5)</f>
        <v>11017807241.33386</v>
      </c>
      <c r="H6" s="18">
        <f>G6*(1+H5)</f>
        <v>11393857569.876986</v>
      </c>
      <c r="I6" s="18">
        <f>H6*(1+I5)</f>
        <v>11748063286.42321</v>
      </c>
      <c r="J6" s="18">
        <f>I6*(1+J5)</f>
        <v>12077522607.97168</v>
      </c>
      <c r="K6" s="18">
        <f>J6*(1+K5)</f>
        <v>12379460673.17097</v>
      </c>
    </row>
    <row r="7" spans="1:11" x14ac:dyDescent="0.25">
      <c r="A7" t="s">
        <v>4</v>
      </c>
      <c r="B7" s="9">
        <f>Assumptions!B7</f>
        <v>0.17700411707326033</v>
      </c>
      <c r="C7" s="9">
        <f>Assumptions!B7</f>
        <v>0.17700411707326033</v>
      </c>
      <c r="D7" s="9">
        <f>Assumptions!B7</f>
        <v>0.17700411707326033</v>
      </c>
      <c r="E7" s="9">
        <f>Assumptions!B7</f>
        <v>0.17700411707326033</v>
      </c>
      <c r="F7" s="9">
        <f>Assumptions!B7</f>
        <v>0.17700411707326033</v>
      </c>
      <c r="G7" s="9">
        <f>Assumptions!B7</f>
        <v>0.17700411707326033</v>
      </c>
      <c r="H7" s="9">
        <f>Assumptions!B7</f>
        <v>0.17700411707326033</v>
      </c>
      <c r="I7" s="9">
        <f>Assumptions!B7</f>
        <v>0.17700411707326033</v>
      </c>
      <c r="J7" s="9">
        <f>Assumptions!B7</f>
        <v>0.17700411707326033</v>
      </c>
      <c r="K7" s="9">
        <f>Assumptions!B7</f>
        <v>0.17700411707326033</v>
      </c>
    </row>
    <row r="8" spans="1:11" x14ac:dyDescent="0.25">
      <c r="A8" t="s">
        <v>51</v>
      </c>
      <c r="B8" s="18">
        <f>B6*B7</f>
        <v>1578081729.7721004</v>
      </c>
      <c r="C8" s="18">
        <f>C6*C7</f>
        <v>1655959602.9427302</v>
      </c>
      <c r="D8" s="18">
        <f>D6*D7</f>
        <v>1732640459.765458</v>
      </c>
      <c r="E8" s="18">
        <f>E6*E7</f>
        <v>1807598438.7070138</v>
      </c>
      <c r="F8" s="18">
        <f>F6*F7</f>
        <v>1880297458.961055</v>
      </c>
      <c r="G8" s="18">
        <f>G6*G7</f>
        <v>1950197242.835674</v>
      </c>
      <c r="H8" s="18">
        <f>H6*H7</f>
        <v>2016759699.2145593</v>
      </c>
      <c r="I8" s="18">
        <f>I6*I7</f>
        <v>2079455569.3341255</v>
      </c>
      <c r="J8" s="18">
        <f>J6*J7</f>
        <v>2137771225.6563675</v>
      </c>
      <c r="K8" s="18">
        <f>K6*K7</f>
        <v>2191215506.2977767</v>
      </c>
    </row>
    <row r="9" spans="1:11" x14ac:dyDescent="0.25">
      <c r="A9" t="s">
        <v>52</v>
      </c>
      <c r="B9" s="18">
        <f>B8*(1-Assumptions!B8)</f>
        <v>1332839059.9299011</v>
      </c>
      <c r="C9" s="18">
        <f>C8*(1-Assumptions!B8)</f>
        <v>1398614278.8604646</v>
      </c>
      <c r="D9" s="18">
        <f>D8*(1-Assumptions!B8)</f>
        <v>1463378504.4351337</v>
      </c>
      <c r="E9" s="18">
        <f>E8*(1-Assumptions!B8)</f>
        <v>1526687596.9249988</v>
      </c>
      <c r="F9" s="18">
        <f>F8*(1-Assumptions!B8)</f>
        <v>1588088785.4599009</v>
      </c>
      <c r="G9" s="18">
        <f>G8*(1-Assumptions!B8)</f>
        <v>1647125754.503453</v>
      </c>
      <c r="H9" s="18">
        <f>H8*(1-Assumptions!B8)</f>
        <v>1703344035.288866</v>
      </c>
      <c r="I9" s="18">
        <f>I8*(1-Assumptions!B8)</f>
        <v>1756296618.805385</v>
      </c>
      <c r="J9" s="18">
        <f>J8*(1-Assumptions!B8)</f>
        <v>1805549698.08852</v>
      </c>
      <c r="K9" s="18">
        <f>K8*(1-Assumptions!B8)</f>
        <v>1850688440.540733</v>
      </c>
    </row>
    <row r="10" spans="1:11" x14ac:dyDescent="0.25">
      <c r="A10" t="s">
        <v>53</v>
      </c>
      <c r="B10" s="18">
        <f>B6*Assumptions!B9</f>
        <v>1353094134.0785232</v>
      </c>
      <c r="C10" s="18">
        <f>C6*Assumptions!B9</f>
        <v>1419868935.0116208</v>
      </c>
      <c r="D10" s="18">
        <f>D6*Assumptions!B9</f>
        <v>1485617378.5842693</v>
      </c>
      <c r="E10" s="18">
        <f>E6*Assumptions!B9</f>
        <v>1549888575.5031054</v>
      </c>
      <c r="F10" s="18">
        <f>F6*Assumptions!B9</f>
        <v>1612222874.1665878</v>
      </c>
      <c r="G10" s="18">
        <f>G6*Assumptions!B9</f>
        <v>1672157024.4388697</v>
      </c>
      <c r="H10" s="18">
        <f>H6*Assumptions!B9</f>
        <v>1729229651.018948</v>
      </c>
      <c r="I10" s="18">
        <f>I6*Assumptions!B9</f>
        <v>1782986951.7273118</v>
      </c>
      <c r="J10" s="18">
        <f>J6*Assumptions!B9</f>
        <v>1832988527.0614111</v>
      </c>
      <c r="K10" s="18">
        <f>K6*Assumptions!B9</f>
        <v>1878813240.2379463</v>
      </c>
    </row>
    <row r="11" spans="1:11" x14ac:dyDescent="0.25">
      <c r="A11" t="s">
        <v>54</v>
      </c>
      <c r="B11" s="18">
        <f>-B6*B19</f>
        <v>-3651268578.2363977</v>
      </c>
      <c r="C11" s="18">
        <f>-C6*C19</f>
        <v>-3612292584.655709</v>
      </c>
      <c r="D11" s="18">
        <f>-D6*D19</f>
        <v>-3550249698.385243</v>
      </c>
      <c r="E11" s="18">
        <f>-E6*E19</f>
        <v>-3464607278.1623893</v>
      </c>
      <c r="F11" s="18">
        <f>-F6*F19</f>
        <v>-3355092837.596882</v>
      </c>
      <c r="G11" s="18">
        <f>-G6*G19</f>
        <v>-3221710756.674665</v>
      </c>
      <c r="H11" s="18">
        <f>-H6*H19</f>
        <v>-3064754759.6135254</v>
      </c>
      <c r="I11" s="18">
        <f>-I6*I19</f>
        <v>-2884815687.549735</v>
      </c>
      <c r="J11" s="18">
        <f>-J6*J19</f>
        <v>-2682784185.9690967</v>
      </c>
      <c r="K11" s="18">
        <f>-K6*K19</f>
        <v>-2459848033.0981765</v>
      </c>
    </row>
    <row r="12" spans="1:11" x14ac:dyDescent="0.25">
      <c r="A12" t="s">
        <v>55</v>
      </c>
      <c r="B12" s="18">
        <f>-(B6-Assumptions!B29)*Assumptions!B11</f>
        <v>-45331154.08500795</v>
      </c>
      <c r="C12" s="18">
        <f>-(C6-B6)*Assumptions!B11</f>
        <v>-52972757.19464983</v>
      </c>
      <c r="D12" s="18">
        <f>-(D6-C6)*Assumptions!B11</f>
        <v>-52158543.17243982</v>
      </c>
      <c r="E12" s="18">
        <f>-(E6-D6)*Assumptions!B11</f>
        <v>-50986636.59667319</v>
      </c>
      <c r="F12" s="18">
        <f>-(F6-E6)*Assumptions!B11</f>
        <v>-49450086.28790624</v>
      </c>
      <c r="G12" s="18">
        <f>-(G6-F6)*Assumptions!B11</f>
        <v>-47546037.51229739</v>
      </c>
      <c r="H12" s="18">
        <f>-(H6-G6)*Assumptions!B11</f>
        <v>-45275977.58496484</v>
      </c>
      <c r="I12" s="18">
        <f>-(I6-H6)*Assumptions!B11</f>
        <v>-42645914.298075564</v>
      </c>
      <c r="J12" s="18">
        <f>-(J6-I6)*Assumptions!B11</f>
        <v>-39666480.05700548</v>
      </c>
      <c r="K12" s="18">
        <f>-(K6-J6)*Assumptions!B11</f>
        <v>-36352956.06567469</v>
      </c>
    </row>
    <row r="13" spans="1:11" x14ac:dyDescent="0.25">
      <c r="A13" s="19" t="s">
        <v>56</v>
      </c>
      <c r="B13" s="20">
        <f>B9+B10+B11+B12</f>
        <v>-1010666538.3129814</v>
      </c>
      <c r="C13" s="20">
        <f>C9+C10+C11+C12</f>
        <v>-846782127.978273</v>
      </c>
      <c r="D13" s="20">
        <f>D9+D10+D11+D12</f>
        <v>-653412358.5382798</v>
      </c>
      <c r="E13" s="20">
        <f>E9+E10+E11+E12</f>
        <v>-439017742.33095807</v>
      </c>
      <c r="F13" s="20">
        <f>F9+F10+F11+F12</f>
        <v>-204231264.2582994</v>
      </c>
      <c r="G13" s="20">
        <f>G9+G10+G11+G12</f>
        <v>50025984.755360365</v>
      </c>
      <c r="H13" s="20">
        <f>H9+H10+H11+H12</f>
        <v>322542949.10932386</v>
      </c>
      <c r="I13" s="20">
        <f>I9+I10+I11+I12</f>
        <v>611821968.6848861</v>
      </c>
      <c r="J13" s="20">
        <f>J9+J10+J11+J12</f>
        <v>916087559.1238288</v>
      </c>
      <c r="K13" s="20">
        <f>K9+K10+K11+K12</f>
        <v>1233300691.614828</v>
      </c>
    </row>
    <row r="14" spans="1:11" x14ac:dyDescent="0.25">
      <c r="A14" t="s">
        <v>57</v>
      </c>
      <c r="B14" s="21">
        <f>1/(1+Assumptions!$B$26)^(1-0.5*Assumptions!$B$32)</f>
        <v>0.9690486781354682</v>
      </c>
      <c r="C14" s="21">
        <f>1/(1+Assumptions!$B$26)^(2-0.5*Assumptions!$B$32)</f>
        <v>0.9099903365007008</v>
      </c>
      <c r="D14" s="21">
        <f>1/(1+Assumptions!$B$26)^(3-0.5*Assumptions!$B$32)</f>
        <v>0.8545312853818237</v>
      </c>
      <c r="E14" s="21">
        <f>1/(1+Assumptions!$B$26)^(4-0.5*Assumptions!$B$32)</f>
        <v>0.80245216724425</v>
      </c>
      <c r="F14" s="21">
        <f>1/(1+Assumptions!$B$26)^(5-0.5*Assumptions!$B$32)</f>
        <v>0.7535469932236264</v>
      </c>
      <c r="G14" s="21">
        <f>1/(1+Assumptions!$B$26)^(6-0.5*Assumptions!$B$32)</f>
        <v>0.7076223283767782</v>
      </c>
      <c r="H14" s="21">
        <f>1/(1+Assumptions!$B$26)^(7-0.5*Assumptions!$B$32)</f>
        <v>0.6644965265872594</v>
      </c>
      <c r="I14" s="21">
        <f>1/(1+Assumptions!$B$26)^(8-0.5*Assumptions!$B$32)</f>
        <v>0.6239990120993232</v>
      </c>
      <c r="J14" s="21">
        <f>1/(1+Assumptions!$B$26)^(9-0.5*Assumptions!$B$32)</f>
        <v>0.5859696048385588</v>
      </c>
      <c r="K14" s="21">
        <f>1/(1+Assumptions!$B$26)^(10-0.5*Assumptions!$B$32)</f>
        <v>0.5502578868506338</v>
      </c>
    </row>
    <row r="15" spans="1:11" x14ac:dyDescent="0.25">
      <c r="A15" s="19" t="s">
        <v>58</v>
      </c>
      <c r="B15" s="20">
        <f>B13*B14</f>
        <v>-979385072.9879441</v>
      </c>
      <c r="C15" s="20">
        <f>C13*C14</f>
        <v>-770563553.5817282</v>
      </c>
      <c r="D15" s="20">
        <f>D13*D14</f>
        <v>-558361302.6260853</v>
      </c>
      <c r="E15" s="20">
        <f>E13*E14</f>
        <v>-352290738.79215497</v>
      </c>
      <c r="F15" s="20">
        <f>F13*F14</f>
        <v>-153897855.1041014</v>
      </c>
      <c r="G15" s="20">
        <f>G13*G14</f>
        <v>35399503.811929315</v>
      </c>
      <c r="H15" s="20">
        <f>H13*H14</f>
        <v>214328669.3583569</v>
      </c>
      <c r="I15" s="20">
        <f>I13*I14</f>
        <v>381776304.04003197</v>
      </c>
      <c r="J15" s="20">
        <f>J13*J14</f>
        <v>536799465.0173098</v>
      </c>
      <c r="K15" s="20">
        <f>K13*K14</f>
        <v>678633432.4194006</v>
      </c>
    </row>
    <row r="17" spans="1:2" x14ac:dyDescent="0.25">
      <c r="A17" s="22" t="s">
        <v>59</v>
      </c>
      <c r="B17" s="23">
        <f>SUM(B15:K15)</f>
        <v>-967561148.4449855</v>
      </c>
    </row>
    <row r="19" spans="1:11" x14ac:dyDescent="0.25">
      <c r="A19" t="s">
        <v>7</v>
      </c>
      <c r="B19" s="9">
        <f>Assumptions!$B$10+($B$20-Assumptions!$B$10)*0/9</f>
        <v>0.4095412542298468</v>
      </c>
      <c r="C19" s="9">
        <f>Assumptions!$B$10+($B$20-Assumptions!$B$10)*1/9</f>
        <v>0.38611488977209185</v>
      </c>
      <c r="D19" s="9">
        <f>Assumptions!$B$10+($B$20-Assumptions!$B$10)*2/9</f>
        <v>0.36268852531433693</v>
      </c>
      <c r="E19" s="9">
        <f>Assumptions!$B$10+($B$20-Assumptions!$B$10)*3/9</f>
        <v>0.339262160856582</v>
      </c>
      <c r="F19" s="9">
        <f>Assumptions!$B$10+($B$20-Assumptions!$B$10)*4/9</f>
        <v>0.3158357963988271</v>
      </c>
      <c r="G19" s="9">
        <f>Assumptions!$B$10+($B$20-Assumptions!$B$10)*5/9</f>
        <v>0.2924094319410721</v>
      </c>
      <c r="H19" s="9">
        <f>Assumptions!$B$10+($B$20-Assumptions!$B$10)*6/9</f>
        <v>0.2689830674833172</v>
      </c>
      <c r="I19" s="9">
        <f>Assumptions!$B$10+($B$20-Assumptions!$B$10)*7/9</f>
        <v>0.24555670302556226</v>
      </c>
      <c r="J19" s="9">
        <f>Assumptions!$B$10+($B$20-Assumptions!$B$10)*8/9</f>
        <v>0.22213033856780734</v>
      </c>
      <c r="K19" s="9">
        <f>Assumptions!$B$10+($B$20-Assumptions!$B$10)*9/9</f>
        <v>0.1987039741100524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0.1987039741100524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1233300691.614828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2015769713.3002434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0.3852082158555709</v>
      </c>
    </row>
    <row r="7" spans="1:2" x14ac:dyDescent="0.25">
      <c r="A7" t="s">
        <v>66</v>
      </c>
      <c r="B7" s="18">
        <f>-MAX(B5,0)*B6</f>
        <v>-776491054.8360825</v>
      </c>
    </row>
    <row r="8" spans="1:2" x14ac:dyDescent="0.25">
      <c r="A8" t="s">
        <v>67</v>
      </c>
      <c r="B8" s="18">
        <f>IF(OR(Assumptions!$B$33=0,Assumptions!B12&lt;=0),B5,MAX(B5+B7,0))</f>
        <v>1239278658.464161</v>
      </c>
    </row>
    <row r="9" spans="1:2" x14ac:dyDescent="0.25">
      <c r="A9" t="s">
        <v>68</v>
      </c>
      <c r="B9" s="18">
        <f>B8*(1+Assumptions!B12)/(Assumptions!B26-Assumptions!B12)</f>
        <v>31836133248.279373</v>
      </c>
    </row>
    <row r="10" spans="1:2" x14ac:dyDescent="0.25">
      <c r="A10" t="s">
        <v>69</v>
      </c>
      <c r="B10" s="18">
        <f>B9/(1+Assumptions!B26)^(10-0.5*Assumptions!B32)</f>
        <v>17518083406.693413</v>
      </c>
    </row>
    <row r="11" spans="1:2" x14ac:dyDescent="0.25">
      <c r="A11" t="s">
        <v>70</v>
      </c>
      <c r="B11" s="18">
        <f>Forecast!B17+B10</f>
        <v>16550522258.248426</v>
      </c>
    </row>
    <row r="12" spans="1:2" x14ac:dyDescent="0.25">
      <c r="A12" t="s">
        <v>71</v>
      </c>
      <c r="B12" s="18">
        <f>-Assumptions!B30</f>
        <v>-18389000000</v>
      </c>
    </row>
    <row r="13" spans="1:2" x14ac:dyDescent="0.25">
      <c r="A13" t="s">
        <v>72</v>
      </c>
      <c r="B13" s="18">
        <f>B11+B12</f>
        <v>-1838477741.7515736</v>
      </c>
    </row>
    <row r="14" spans="1:2" x14ac:dyDescent="0.25">
      <c r="A14" s="19" t="s">
        <v>73</v>
      </c>
      <c r="B14" s="24">
        <f>B13/Assumptions!B31</f>
        <v>-6.107899474257719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4070028746.5357227</v>
      </c>
    </row>
    <row r="18" spans="1:2" x14ac:dyDescent="0.25">
      <c r="A18" t="s">
        <v>68</v>
      </c>
      <c r="B18" s="18">
        <f>B17*Assumptions!B13</f>
        <v>54178694393.52124</v>
      </c>
    </row>
    <row r="19" spans="1:2" x14ac:dyDescent="0.25">
      <c r="A19" t="s">
        <v>69</v>
      </c>
      <c r="B19" s="18">
        <f>B18/(1+Assumptions!B26)^(10-0.5*Assumptions!B32)</f>
        <v>29812253889.30528</v>
      </c>
    </row>
    <row r="20" spans="1:2" x14ac:dyDescent="0.25">
      <c r="A20" t="s">
        <v>70</v>
      </c>
      <c r="B20" s="18">
        <f>Forecast!B17+B19</f>
        <v>28844692740.860294</v>
      </c>
    </row>
    <row r="21" spans="1:2" x14ac:dyDescent="0.25">
      <c r="A21" t="s">
        <v>71</v>
      </c>
      <c r="B21" s="18">
        <f>-Assumptions!B30</f>
        <v>-18389000000</v>
      </c>
    </row>
    <row r="22" spans="1:2" x14ac:dyDescent="0.25">
      <c r="A22" t="s">
        <v>72</v>
      </c>
      <c r="B22" s="18">
        <f>B20+B21</f>
        <v>10455692740.860294</v>
      </c>
    </row>
    <row r="23" spans="1:2" x14ac:dyDescent="0.25">
      <c r="A23" s="19" t="s">
        <v>73</v>
      </c>
      <c r="B23" s="25">
        <f>B22/Assumptions!B31</f>
        <v>34.73652073375513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70.1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-6.107899474257719</v>
      </c>
    </row>
    <row r="29" spans="1:2" x14ac:dyDescent="0.25">
      <c r="A29" s="19" t="s">
        <v>81</v>
      </c>
      <c r="B29" s="11">
        <f>B28/B26-1</f>
        <v>-1.0871312335842755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0.0449</v>
      </c>
      <c r="B5" s="31">
        <v>43.48524142280494</v>
      </c>
      <c r="C5" s="31">
        <v>44.9405852340782</v>
      </c>
      <c r="D5" s="31">
        <v>48.05225747783083</v>
      </c>
      <c r="E5" s="31">
        <v>54.487702884746895</v>
      </c>
      <c r="F5" s="31">
        <v>69.28294139901305</v>
      </c>
    </row>
    <row r="6" spans="1:6" x14ac:dyDescent="0.25">
      <c r="A6" s="30">
        <v>0.0549</v>
      </c>
      <c r="B6" s="31">
        <v>12.963262244209872</v>
      </c>
      <c r="C6" s="31">
        <v>11.373734913724842</v>
      </c>
      <c r="D6" s="31">
        <v>9.784207583239787</v>
      </c>
      <c r="E6" s="31">
        <v>8.194680252754743</v>
      </c>
      <c r="F6" s="31">
        <v>6.6051529222696885</v>
      </c>
    </row>
    <row r="7" spans="1:6" x14ac:dyDescent="0.25">
      <c r="A7" s="30">
        <v>0.0649</v>
      </c>
      <c r="B7" s="31">
        <v>-3.568529543176074</v>
      </c>
      <c r="C7" s="31">
        <v>-4.838237294908789</v>
      </c>
      <c r="D7" s="32">
        <v>-6.107945046641531</v>
      </c>
      <c r="E7" s="31">
        <v>-7.377652798374252</v>
      </c>
      <c r="F7" s="31">
        <v>-8.647360550106987</v>
      </c>
    </row>
    <row r="8" spans="1:6" x14ac:dyDescent="0.25">
      <c r="A8" s="30">
        <v>0.0749</v>
      </c>
      <c r="B8" s="31">
        <v>-15.417975858159284</v>
      </c>
      <c r="C8" s="31">
        <v>-16.457798629778917</v>
      </c>
      <c r="D8" s="31">
        <v>-17.497621401398572</v>
      </c>
      <c r="E8" s="31">
        <v>-18.537444173018205</v>
      </c>
      <c r="F8" s="31">
        <v>-19.57726694463785</v>
      </c>
    </row>
    <row r="9" spans="1:6" x14ac:dyDescent="0.25">
      <c r="A9" s="30">
        <v>0.0849</v>
      </c>
      <c r="B9" s="31">
        <v>-24.257782783652093</v>
      </c>
      <c r="C9" s="31">
        <v>-25.125550622565818</v>
      </c>
      <c r="D9" s="31">
        <v>-25.993318461479543</v>
      </c>
      <c r="E9" s="31">
        <v>-26.86108630039327</v>
      </c>
      <c r="F9" s="31">
        <v>-27.72885413930701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8539000000</v>
      </c>
      <c r="C5" s="18">
        <v>7515000000</v>
      </c>
      <c r="D5" s="18">
        <v>7462000000</v>
      </c>
      <c r="E5" s="18">
        <v>8596000000</v>
      </c>
      <c r="F5" s="6" t="s">
        <v>91</v>
      </c>
    </row>
    <row r="6" spans="1:6" x14ac:dyDescent="0.25">
      <c r="A6" t="s">
        <v>51</v>
      </c>
      <c r="B6" s="18">
        <v>1727000000</v>
      </c>
      <c r="C6" s="18">
        <v>1487000000</v>
      </c>
      <c r="D6" s="18">
        <v>1235000000</v>
      </c>
      <c r="E6" s="18">
        <v>1224000000</v>
      </c>
      <c r="F6" s="6" t="s">
        <v>92</v>
      </c>
    </row>
    <row r="7" spans="1:6" x14ac:dyDescent="0.25">
      <c r="A7" t="s">
        <v>93</v>
      </c>
      <c r="B7" s="18">
        <v>1306000000</v>
      </c>
      <c r="C7" s="18">
        <v>1240000000</v>
      </c>
      <c r="D7" s="18">
        <v>1180000000</v>
      </c>
      <c r="E7" s="18">
        <v>1126000000</v>
      </c>
      <c r="F7" s="6" t="s">
        <v>94</v>
      </c>
    </row>
    <row r="8" spans="1:6" x14ac:dyDescent="0.25">
      <c r="A8" t="s">
        <v>95</v>
      </c>
      <c r="B8" s="18">
        <v>4038000000</v>
      </c>
      <c r="C8" s="18">
        <v>3178000000</v>
      </c>
      <c r="D8" s="18">
        <v>3386000000</v>
      </c>
      <c r="E8" s="18">
        <v>2481000000</v>
      </c>
      <c r="F8" s="6" t="s">
        <v>96</v>
      </c>
    </row>
    <row r="9" spans="1:6" x14ac:dyDescent="0.25">
      <c r="A9" t="s">
        <v>97</v>
      </c>
      <c r="B9" s="18">
        <v>61000000</v>
      </c>
      <c r="C9" s="18">
        <v>-262000000</v>
      </c>
      <c r="D9" s="18">
        <v>-416000000</v>
      </c>
      <c r="E9" s="18">
        <v>1113000000</v>
      </c>
      <c r="F9" s="6" t="s">
        <v>98</v>
      </c>
    </row>
    <row r="10" spans="1:6" x14ac:dyDescent="0.25">
      <c r="A10" t="s">
        <v>99</v>
      </c>
      <c r="B10" s="18">
        <v>18898000000</v>
      </c>
      <c r="C10" s="18">
        <v>16566000000</v>
      </c>
      <c r="D10" s="18">
        <v>15643000000</v>
      </c>
      <c r="E10" s="18">
        <v>14309000000</v>
      </c>
      <c r="F10" s="6" t="s">
        <v>100</v>
      </c>
    </row>
    <row r="11" spans="1:6" x14ac:dyDescent="0.25">
      <c r="A11" t="s">
        <v>101</v>
      </c>
      <c r="B11" s="18">
        <v>509000000</v>
      </c>
      <c r="C11" s="18">
        <v>103000000</v>
      </c>
      <c r="D11" s="18">
        <v>227000000</v>
      </c>
      <c r="E11" s="18">
        <v>164000000</v>
      </c>
      <c r="F11" s="6" t="s">
        <v>102</v>
      </c>
    </row>
    <row r="12" spans="1:6" x14ac:dyDescent="0.25">
      <c r="A12" t="s">
        <v>34</v>
      </c>
      <c r="B12" s="34">
        <v>301000000</v>
      </c>
      <c r="C12" s="34">
        <v>298784865</v>
      </c>
      <c r="D12" s="34">
        <v>294400000</v>
      </c>
      <c r="E12" s="34">
        <v>291300000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