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<sst xmlns="http://schemas.openxmlformats.org/spreadsheetml/2006/main" count="113" uniqueCount="101">
  <si>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CMS Energy Corporation (CMS)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</si>
  <si>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</si>
  <si>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</si>
  <si>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</si>
  <si>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</si>
  <si>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</si>
  <si>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</si>
  <si>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</si>
  <si>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</si>
  <si>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</si>
  <si>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</si>
  <si>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</si>
  <si>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</si>
  <si>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</si>
  <si>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</si>
  <si>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</si>
  <si>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</si>
  <si>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</si>
  <si>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</si>
  <si>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</si>
  <si>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</si>
  <si>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</si>
  <si>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</si>
  <si>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</si>
  <si>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</si>
  <si>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</si>
  <si>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</si>
  <si>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</si>
  <si>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</si>
  <si>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</si>
  <si>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</si>
  <si>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</si>
  <si>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</si>
  <si>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</si>
  <si>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</si>
  <si>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</si>
  <si>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</si>
  <si>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</si>
  <si>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</si>
  <si>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</si>
  <si>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</si>
  <si>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</si>
  <si>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</si>
  <si>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</si>
  <si>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</si>
  <si>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</si>
  <si>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</si>
  <si>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</si>
  <si>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</si>
  <si>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</si>
  <si>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</si>
  <si>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</si>
  <si>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</si>
  <si>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</si>
  <si>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</si>
  <si>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</si>
  <si>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</si>
  <si>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</si>
  <si>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</si>
  <si>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</si>
  <si>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</si>
  <si>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</si>
  <si>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</si>
  <si>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</si>
  <si>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</si>
  <si>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</si>
  <si>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</si>
  <si>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</si>
  <si>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</si>
  <si>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</si>
  <si>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</si>
  <si>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</si>
  <si>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</si>
  <si>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</si>
  <si>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</si>
  <si>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</si>
  <si>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</si>
  <si>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</si>
  <si>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</si>
  <si>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</si>
  <si>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</si>
  <si>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</si>
  <si>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</si>
  <si>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</si>
  <si>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</si>
  <si>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</si>
  <si>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</si>
  <si>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</si>
  <si>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</si>
  <si>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</si>
  <si>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</si>
  <si>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</si>
  <si>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</si>
  <si>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</si>
  <si>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</si>
  <si>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</si>
  <si>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</si>
  <si>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</si>
  <si>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</si>
  <si>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41.0% of revenue against depreciation of 15.2%.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</si>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</sst>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-0.002215234024431356</v>
      </c>
    </row>
    <row r="7" spans="1:2" x14ac:dyDescent="0.25">
      <c r="A7" t="s">
        <v>5</v>
      </c>
      <c r="B7" s="6">
        <v>0.17700411707326033</v>
      </c>
    </row>
    <row r="8" spans="1:2" x14ac:dyDescent="0.25">
      <c r="A8" t="s">
        <v>6</v>
      </c>
      <c r="B8" s="6">
        <v>0.15540555676898693</v>
      </c>
    </row>
    <row r="9" spans="1:2" x14ac:dyDescent="0.25">
      <c r="A9" t="s">
        <v>7</v>
      </c>
      <c r="B9" s="6">
        <v>0.15176858587303</v>
      </c>
    </row>
    <row r="10" spans="1:2" x14ac:dyDescent="0.25">
      <c r="A10" t="s">
        <v>8</v>
      </c>
      <c r="B10" s="6">
        <v>0.4095412542298468</v>
      </c>
    </row>
    <row r="11" spans="1:2" x14ac:dyDescent="0.25">
      <c r="A11" t="s">
        <v>9</v>
      </c>
      <c r="B11" s="6">
        <v>0.0595703125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12.818374541378173</v>
      </c>
    </row>
    <row r="14" spans="1:3" x14ac:dyDescent="0.25">
      <c r="A14" t="s">
        <v>12</v>
      </c>
      <c r="B14" s="6">
        <v>0.06203995017931295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0.55177</v>
      </c>
      <c r="C19" s="8" t="s">
        <v>19</v>
      </c>
    </row>
    <row r="20" spans="1:2" x14ac:dyDescent="0.25">
      <c r="A20" t="s">
        <v>20</v>
      </c>
      <c r="B20" s="10">
        <f>B17+B19*B18</f>
        <v>0.08032735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20489129984</v>
      </c>
    </row>
    <row r="23" spans="1:2" x14ac:dyDescent="0.25">
      <c r="A23" t="s">
        <v>24</v>
      </c>
      <c r="B23" s="11">
        <v>18898000000</v>
      </c>
    </row>
    <row r="24" spans="1:2" x14ac:dyDescent="0.25">
      <c r="A24" t="s">
        <v>25</v>
      </c>
      <c r="B24" s="10">
        <f>B22/(B22+B23)</f>
        <v>0.5201986027497606</v>
      </c>
    </row>
    <row r="25" spans="1:2" x14ac:dyDescent="0.25">
      <c r="A25" t="s">
        <v>26</v>
      </c>
      <c r="B25" s="10">
        <f>1-B24</f>
        <v>0.4798013972502394</v>
      </c>
    </row>
    <row r="26" spans="1:2" x14ac:dyDescent="0.25">
      <c r="A26" t="s">
        <v>27</v>
      </c>
      <c r="B26" s="12">
        <f>B24*B20+B25*B21*(1-B8)</f>
        <v>0.06203995017931295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8539000000</v>
      </c>
      <c r="C29" s="8" t="s">
        <v>30</v>
      </c>
    </row>
    <row r="30" spans="1:2" x14ac:dyDescent="0.25">
      <c r="A30" t="s">
        <v>31</v>
      </c>
      <c r="B30" s="11">
        <v>18389000000</v>
      </c>
    </row>
    <row r="31" spans="1:2" x14ac:dyDescent="0.25">
      <c r="A31" t="s">
        <v>32</v>
      </c>
      <c r="B31" s="13">
        <v>306409000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-0.002215234024431356</v>
      </c>
      <c r="C5" s="10">
        <f>Assumptions!B6</f>
        <v>-0.002215234024431356</v>
      </c>
      <c r="D5" s="10">
        <f>Assumptions!B6</f>
        <v>-0.002215234024431356</v>
      </c>
      <c r="E5" s="10">
        <f>Assumptions!B6</f>
        <v>-0.002215234024431356</v>
      </c>
      <c r="F5" s="10">
        <f>Assumptions!B6</f>
        <v>-0.002215234024431356</v>
      </c>
    </row>
    <row r="6" spans="1:6" x14ac:dyDescent="0.25">
      <c r="A6" t="s">
        <v>43</v>
      </c>
      <c r="B6" s="18">
        <f>Assumptions!B29*(1+B5)</f>
        <v>8520084116.6653805</v>
      </c>
      <c r="C6" s="18">
        <f>B6*(1+C5)</f>
        <v>8501210136.439126</v>
      </c>
      <c r="D6" s="18">
        <f>C6*(1+D5)</f>
        <v>8482377966.496045</v>
      </c>
      <c r="E6" s="18">
        <f>D6*(1+E5)</f>
        <v>8463587514.216577</v>
      </c>
      <c r="F6" s="18">
        <f>E6*(1+F5)</f>
        <v>8444838687.186332</v>
      </c>
    </row>
    <row r="7" spans="1:6" x14ac:dyDescent="0.25">
      <c r="A7" t="s">
        <v>5</v>
      </c>
      <c r="B7" s="10">
        <f>Assumptions!B7</f>
        <v>0.17700411707326033</v>
      </c>
      <c r="C7" s="10">
        <f>Assumptions!B7</f>
        <v>0.17700411707326033</v>
      </c>
      <c r="D7" s="10">
        <f>Assumptions!B7</f>
        <v>0.17700411707326033</v>
      </c>
      <c r="E7" s="10">
        <f>Assumptions!B7</f>
        <v>0.17700411707326033</v>
      </c>
      <c r="F7" s="10">
        <f>Assumptions!B7</f>
        <v>0.17700411707326033</v>
      </c>
    </row>
    <row r="8" spans="1:6" x14ac:dyDescent="0.25">
      <c r="A8" t="s">
        <v>44</v>
      </c>
      <c r="B8" s="18">
        <f>B6*B7</f>
        <v>1508089966.460265</v>
      </c>
      <c r="C8" s="18">
        <f>C6*C7</f>
        <v>1504749194.2546585</v>
      </c>
      <c r="D8" s="18">
        <f>D6*D7</f>
        <v>1501415822.64131</v>
      </c>
      <c r="E8" s="18">
        <f>E6*E7</f>
        <v>1498089835.2261753</v>
      </c>
      <c r="F8" s="18">
        <f>F6*F7</f>
        <v>1494771215.6515276</v>
      </c>
    </row>
    <row r="9" spans="1:6" x14ac:dyDescent="0.25">
      <c r="A9" t="s">
        <v>45</v>
      </c>
      <c r="B9" s="18">
        <f>B8*(1-Assumptions!B8)</f>
        <v>1273724405.5647845</v>
      </c>
      <c r="C9" s="18">
        <f>C8*(1-Assumptions!B8)</f>
        <v>1270902807.9238288</v>
      </c>
      <c r="D9" s="18">
        <f>D8*(1-Assumptions!B8)</f>
        <v>1268087460.7819707</v>
      </c>
      <c r="E9" s="18">
        <f>E8*(1-Assumptions!B8)</f>
        <v>1265278350.2928917</v>
      </c>
      <c r="F9" s="18">
        <f>F8*(1-Assumptions!B8)</f>
        <v>1262475462.6409466</v>
      </c>
    </row>
    <row r="10" spans="1:6" x14ac:dyDescent="0.25">
      <c r="A10" t="s">
        <v>46</v>
      </c>
      <c r="B10" s="18">
        <f>B6*Assumptions!B9</f>
        <v>1293081117.9055686</v>
      </c>
      <c r="C10" s="18">
        <f>C6*Assumptions!B9</f>
        <v>1290216640.6168344</v>
      </c>
      <c r="D10" s="18">
        <f>D6*Assumptions!B9</f>
        <v>1287358508.8156526</v>
      </c>
      <c r="E10" s="18">
        <f>E6*Assumptions!B9</f>
        <v>1284506708.445283</v>
      </c>
      <c r="F10" s="18">
        <f>F6*Assumptions!B9</f>
        <v>1281661225.4801247</v>
      </c>
    </row>
    <row r="11" spans="1:6" x14ac:dyDescent="0.25">
      <c r="A11" t="s">
        <v>47</v>
      </c>
      <c r="B11" s="18">
        <f>-B6*Assumptions!B10</f>
        <v>-3489325935.282936</v>
      </c>
      <c r="C11" s="18">
        <f>-C6*Assumptions!B10</f>
        <v>-3481596261.7487664</v>
      </c>
      <c r="D11" s="18">
        <f>-D6*Assumptions!B10</f>
        <v>-3473883711.2504077</v>
      </c>
      <c r="E11" s="18">
        <f>-E6*Assumptions!B10</f>
        <v>-3466188245.856328</v>
      </c>
      <c r="F11" s="18">
        <f>-F6*Assumptions!B10</f>
        <v>-3458509827.7190228</v>
      </c>
    </row>
    <row r="12" spans="1:6" x14ac:dyDescent="0.25">
      <c r="A12" t="s">
        <v>48</v>
      </c>
      <c r="B12" s="18">
        <f>-(B6-Assumptions!B29)*Assumptions!B11</f>
        <v>1126825.081456827</v>
      </c>
      <c r="C12" s="18">
        <f>-(C6-B6)*Assumptions!B11</f>
        <v>1124328.900196799</v>
      </c>
      <c r="D12" s="18">
        <f>-(D6-C6)*Assumptions!B11</f>
        <v>1121838.2485624366</v>
      </c>
      <c r="E12" s="18">
        <f>-(E6-D6)*Assumptions!B11</f>
        <v>1119353.114304278</v>
      </c>
      <c r="F12" s="18">
        <f>-(F6-E6)*Assumptions!B11</f>
        <v>1116873.4852001313</v>
      </c>
    </row>
    <row r="13" spans="1:6" x14ac:dyDescent="0.25">
      <c r="A13" s="19" t="s">
        <v>49</v>
      </c>
      <c r="B13" s="20">
        <f>B9+B10+B11+B12</f>
        <v>-921393586.7311262</v>
      </c>
      <c r="C13" s="20">
        <f>C9+C10+C11+C12</f>
        <v>-919352484.3079064</v>
      </c>
      <c r="D13" s="20">
        <f>D9+D10+D11+D12</f>
        <v>-917315903.4042219</v>
      </c>
      <c r="E13" s="20">
        <f>E9+E10+E11+E12</f>
        <v>-915283834.0038493</v>
      </c>
      <c r="F13" s="20">
        <f>F9+F10+F11+F12</f>
        <v>-913256266.1127512</v>
      </c>
    </row>
    <row r="14" spans="1:6" x14ac:dyDescent="0.25">
      <c r="A14" t="s">
        <v>50</v>
      </c>
      <c r="B14" s="21">
        <f>1/(1+Assumptions!$B$26)^(1-0.5*Assumptions!$B$32)</f>
        <v>0.9703525984380321</v>
      </c>
      <c r="C14" s="21">
        <f>1/(1+Assumptions!$B$26)^(2-0.5*Assumptions!$B$32)</f>
        <v>0.9136686414425366</v>
      </c>
      <c r="D14" s="21">
        <f>1/(1+Assumptions!$B$26)^(3-0.5*Assumptions!$B$32)</f>
        <v>0.8602959251092903</v>
      </c>
      <c r="E14" s="21">
        <f>1/(1+Assumptions!$B$26)^(4-0.5*Assumptions!$B$32)</f>
        <v>0.8100410205511002</v>
      </c>
      <c r="F14" s="21">
        <f>1/(1+Assumptions!$B$26)^(5-0.5*Assumptions!$B$32)</f>
        <v>0.7627217981906748</v>
      </c>
    </row>
    <row r="15" spans="1:6" x14ac:dyDescent="0.25">
      <c r="A15" s="19" t="s">
        <v>51</v>
      </c>
      <c r="B15" s="20">
        <f>B13*B14</f>
        <v>-894076661.0686866</v>
      </c>
      <c r="C15" s="20">
        <f>C13*C14</f>
        <v>-839983535.3444258</v>
      </c>
      <c r="D15" s="20">
        <f>D13*D14</f>
        <v>-789163133.7365994</v>
      </c>
      <c r="E15" s="20">
        <f>E13*E14</f>
        <v>-741417450.9904019</v>
      </c>
      <c r="F15" s="20">
        <f>F13*F14</f>
        <v>-696560461.498419</v>
      </c>
    </row>
    <row r="17" spans="1:2" x14ac:dyDescent="0.25">
      <c r="A17" s="22" t="s">
        <v>52</v>
      </c>
      <c r="B17" s="23">
        <f>SUM(B15:F15)</f>
        <v>-3961201242.6385326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-913256266.1127512</v>
      </c>
    </row>
    <row r="5" spans="1:2" x14ac:dyDescent="0.25">
      <c r="A5" t="s">
        <v>56</v>
      </c>
      <c r="B5" s="18">
        <f>IF(Assumptions!$B$33=0,B4,B4-Forecast!F11-Forecast!F10-Forecast!F12)</f>
        <v>1375088181.0407681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0.4029661520962372</v>
      </c>
    </row>
    <row r="7" spans="1:2" x14ac:dyDescent="0.25">
      <c r="A7" t="s">
        <v>58</v>
      </c>
      <c r="B7" s="18">
        <f>-MAX(Forecast!F9,0)*B6</f>
        <v>-554113993.1070124</v>
      </c>
    </row>
    <row r="8" spans="1:2" x14ac:dyDescent="0.25">
      <c r="A8" t="s">
        <v>59</v>
      </c>
      <c r="B8" s="18">
        <f>IF(OR(Assumptions!$B$33=0,Assumptions!B12&lt;=0),B5,MAX(B5+B7,0))</f>
        <v>820974187.9337558</v>
      </c>
    </row>
    <row r="9" spans="1:2" x14ac:dyDescent="0.25">
      <c r="A9" t="s">
        <v>60</v>
      </c>
      <c r="B9" s="18">
        <f>B8*(1+Assumptions!B12)/(Assumptions!B26-Assumptions!B12)</f>
        <v>22718673717.387505</v>
      </c>
    </row>
    <row r="10" spans="1:2" x14ac:dyDescent="0.25">
      <c r="A10" t="s">
        <v>61</v>
      </c>
      <c r="B10" s="18">
        <f>B9/(1+Assumptions!B26)^(5-0.5*Assumptions!B32)</f>
        <v>17328027670.23302</v>
      </c>
    </row>
    <row r="11" spans="1:2" x14ac:dyDescent="0.25">
      <c r="A11" t="s">
        <v>62</v>
      </c>
      <c r="B11" s="18">
        <f>Forecast!B17+B10</f>
        <v>13366826427.594488</v>
      </c>
    </row>
    <row r="12" spans="1:2" x14ac:dyDescent="0.25">
      <c r="A12" t="s">
        <v>63</v>
      </c>
      <c r="B12" s="18">
        <f>-Assumptions!B30</f>
        <v>-18389000000</v>
      </c>
    </row>
    <row r="13" spans="1:2" x14ac:dyDescent="0.25">
      <c r="A13" t="s">
        <v>64</v>
      </c>
      <c r="B13" s="18">
        <f>B11+B12</f>
        <v>-5022173572.405512</v>
      </c>
    </row>
    <row r="14" spans="1:2" x14ac:dyDescent="0.25">
      <c r="A14" s="19" t="s">
        <v>65</v>
      </c>
      <c r="B14" s="24">
        <f>B13/Assumptions!B31</f>
        <v>-16.39042447318947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2776432441.1316524</v>
      </c>
    </row>
    <row r="18" spans="1:2" x14ac:dyDescent="0.25">
      <c r="A18" t="s">
        <v>60</v>
      </c>
      <c r="B18" s="18">
        <f>B17*Assumptions!B13</f>
        <v>35589350919.25842</v>
      </c>
    </row>
    <row r="19" spans="1:2" x14ac:dyDescent="0.25">
      <c r="A19" t="s">
        <v>61</v>
      </c>
      <c r="B19" s="18">
        <f>B18/(1+Assumptions!B26)^(5-0.5*Assumptions!B32)</f>
        <v>27144773729.57573</v>
      </c>
    </row>
    <row r="20" spans="1:2" x14ac:dyDescent="0.25">
      <c r="A20" t="s">
        <v>62</v>
      </c>
      <c r="B20" s="18">
        <f>Forecast!B17+B19</f>
        <v>23183572486.937195</v>
      </c>
    </row>
    <row r="21" spans="1:2" x14ac:dyDescent="0.25">
      <c r="A21" t="s">
        <v>63</v>
      </c>
      <c r="B21" s="18">
        <f>-Assumptions!B30</f>
        <v>-18389000000</v>
      </c>
    </row>
    <row r="22" spans="1:2" x14ac:dyDescent="0.25">
      <c r="A22" t="s">
        <v>64</v>
      </c>
      <c r="B22" s="18">
        <f>B20+B21</f>
        <v>4794572486.937195</v>
      </c>
    </row>
    <row r="23" spans="1:2" x14ac:dyDescent="0.25">
      <c r="A23" s="19" t="s">
        <v>65</v>
      </c>
      <c r="B23" s="25">
        <f>B22/Assumptions!B31</f>
        <v>15.647622905780166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-16.39042447318947</v>
      </c>
    </row>
    <row r="29" spans="1:2" x14ac:dyDescent="0.25">
      <c r="A29" s="19" t="s">
        <v>73</v>
      </c>
      <c r="B29" s="12">
        <f>B28/B26-1</f>
        <v>-1.2508482472174696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0.04204</v>
      </c>
      <c r="B5" s="31">
        <v>24.63686664651098</v>
      </c>
      <c r="C5" s="31">
        <v>30.33334844342488</v>
      </c>
      <c r="D5" s="31">
        <v>39.155104923197634</v>
      </c>
      <c r="E5" s="31">
        <v>54.995750723942464</v>
      </c>
      <c r="F5" s="31">
        <v>92.81030570568488</v>
      </c>
    </row>
    <row r="6" spans="1:6" x14ac:dyDescent="0.25">
      <c r="A6" s="30">
        <v>0.05204</v>
      </c>
      <c r="B6" s="31">
        <v>-3.572680990190152</v>
      </c>
      <c r="C6" s="31">
        <v>-3.2295052243212594</v>
      </c>
      <c r="D6" s="31">
        <v>-2.886329458452404</v>
      </c>
      <c r="E6" s="31">
        <v>-2.543153692583536</v>
      </c>
      <c r="F6" s="31">
        <v>-2.1999779267146558</v>
      </c>
    </row>
    <row r="7" spans="1:6" x14ac:dyDescent="0.25">
      <c r="A7" s="30">
        <v>0.06204</v>
      </c>
      <c r="B7" s="31">
        <v>-16.942206204979787</v>
      </c>
      <c r="C7" s="31">
        <v>-16.666343294546188</v>
      </c>
      <c r="D7" s="32">
        <v>-16.390480384112614</v>
      </c>
      <c r="E7" s="31">
        <v>-16.11461747367903</v>
      </c>
      <c r="F7" s="31">
        <v>-15.83875456324543</v>
      </c>
    </row>
    <row r="8" spans="1:6" x14ac:dyDescent="0.25">
      <c r="A8" s="30">
        <v>0.07204</v>
      </c>
      <c r="B8" s="31">
        <v>-26.423754177056125</v>
      </c>
      <c r="C8" s="31">
        <v>-26.195995004321773</v>
      </c>
      <c r="D8" s="31">
        <v>-25.968235831587425</v>
      </c>
      <c r="E8" s="31">
        <v>-25.740476658853087</v>
      </c>
      <c r="F8" s="31">
        <v>-25.512717486118746</v>
      </c>
    </row>
    <row r="9" spans="1:6" x14ac:dyDescent="0.25">
      <c r="A9" s="30">
        <v>0.08204</v>
      </c>
      <c r="B9" s="31">
        <v>-33.448170752753015</v>
      </c>
      <c r="C9" s="31">
        <v>-33.256357564660924</v>
      </c>
      <c r="D9" s="31">
        <v>-33.06454437656886</v>
      </c>
      <c r="E9" s="31">
        <v>-32.87273118847679</v>
      </c>
      <c r="F9" s="31">
        <v>-32.680918000384715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8539000000</v>
      </c>
      <c r="C5" s="18">
        <v>7515000000</v>
      </c>
      <c r="D5" s="18">
        <v>7462000000</v>
      </c>
      <c r="E5" s="18">
        <v>8596000000</v>
      </c>
      <c r="F5" s="8" t="s">
        <v>84</v>
      </c>
    </row>
    <row r="6" spans="1:6" x14ac:dyDescent="0.25">
      <c r="A6" t="s">
        <v>44</v>
      </c>
      <c r="B6" s="18">
        <v>1727000000</v>
      </c>
      <c r="C6" s="18">
        <v>1487000000</v>
      </c>
      <c r="D6" s="18">
        <v>1235000000</v>
      </c>
      <c r="E6" s="18">
        <v>1224000000</v>
      </c>
      <c r="F6" s="8" t="s">
        <v>85</v>
      </c>
    </row>
    <row r="7" spans="1:6" x14ac:dyDescent="0.25">
      <c r="A7" t="s">
        <v>86</v>
      </c>
      <c r="B7" s="18">
        <v>1306000000</v>
      </c>
      <c r="C7" s="18">
        <v>1240000000</v>
      </c>
      <c r="D7" s="18">
        <v>1180000000</v>
      </c>
      <c r="E7" s="18">
        <v>1126000000</v>
      </c>
      <c r="F7" s="8" t="s">
        <v>87</v>
      </c>
    </row>
    <row r="8" spans="1:6" x14ac:dyDescent="0.25">
      <c r="A8" t="s">
        <v>88</v>
      </c>
      <c r="B8" s="18">
        <v>4038000000</v>
      </c>
      <c r="C8" s="18">
        <v>3178000000</v>
      </c>
      <c r="D8" s="18">
        <v>3386000000</v>
      </c>
      <c r="E8" s="18">
        <v>2481000000</v>
      </c>
      <c r="F8" s="8" t="s">
        <v>89</v>
      </c>
    </row>
    <row r="9" spans="1:6" x14ac:dyDescent="0.25">
      <c r="A9" t="s">
        <v>90</v>
      </c>
      <c r="B9" s="18">
        <v>61000000</v>
      </c>
      <c r="C9" s="18">
        <v>-262000000</v>
      </c>
      <c r="D9" s="18">
        <v>-416000000</v>
      </c>
      <c r="E9" s="18">
        <v>1113000000</v>
      </c>
      <c r="F9" s="8" t="s">
        <v>91</v>
      </c>
    </row>
    <row r="10" spans="1:6" x14ac:dyDescent="0.25">
      <c r="A10" t="s">
        <v>92</v>
      </c>
      <c r="B10" s="18">
        <v>18898000000</v>
      </c>
      <c r="C10" s="18">
        <v>16566000000</v>
      </c>
      <c r="D10" s="18">
        <v>15643000000</v>
      </c>
      <c r="E10" s="18">
        <v>14309000000</v>
      </c>
      <c r="F10" s="8" t="s">
        <v>93</v>
      </c>
    </row>
    <row r="11" spans="1:6" x14ac:dyDescent="0.25">
      <c r="A11" t="s">
        <v>94</v>
      </c>
      <c r="B11" s="18">
        <v>509000000</v>
      </c>
      <c r="C11" s="18">
        <v>103000000</v>
      </c>
      <c r="D11" s="18">
        <v>227000000</v>
      </c>
      <c r="E11" s="18">
        <v>164000000</v>
      </c>
      <c r="F11" s="8" t="s">
        <v>95</v>
      </c>
    </row>
    <row r="12" spans="1:6" x14ac:dyDescent="0.25">
      <c r="A12" t="s">
        <v>32</v>
      </c>
      <c r="B12" s="34">
        <v>306409000</v>
      </c>
      <c r="C12" s="34">
        <v>298784865</v>
      </c>
      <c r="D12" s="34">
        <v>294400000</v>
      </c>
      <c r="E12" s="34">
        <v>291300000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2026-09-19T01:03:07Z</dcterms:modified>
</cp:coreProperties>
</file>