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<sst xmlns="http://schemas.openxmlformats.org/spreadsheetml/2006/main" count="112" uniqueCount="100">
  <si>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Centrica plc (CNA.L)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</si>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</sst>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-0.06361927597519124</v>
      </c>
    </row>
    <row r="7" spans="1:2" x14ac:dyDescent="0.25">
      <c r="A7" t="s">
        <v>5</v>
      </c>
      <c r="B7" s="6">
        <v>0.10751573090826685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0.02336708801939829</v>
      </c>
    </row>
    <row r="10" spans="1:2" x14ac:dyDescent="0.25">
      <c r="A10" t="s">
        <v>8</v>
      </c>
      <c r="B10" s="6">
        <v>0.01940033581563388</v>
      </c>
    </row>
    <row r="11" spans="1:2" x14ac:dyDescent="0.25">
      <c r="A11" t="s">
        <v>9</v>
      </c>
      <c r="B11" s="6">
        <v>-0.038502673796791446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4.546204824020017</v>
      </c>
    </row>
    <row r="14" spans="1:3" x14ac:dyDescent="0.25">
      <c r="A14" t="s">
        <v>12</v>
      </c>
      <c r="B14" s="6">
        <v>0.1477951746229943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0.5444</v>
      </c>
      <c r="C19" s="8" t="s">
        <v>19</v>
      </c>
    </row>
    <row r="20" spans="1:2" x14ac:dyDescent="0.25">
      <c r="A20" t="s">
        <v>20</v>
      </c>
      <c r="B20" s="10">
        <f>B17+B19*B18</f>
        <v>0.074942</v>
      </c>
    </row>
    <row r="21" spans="1:3" x14ac:dyDescent="0.25">
      <c r="A21" t="s">
        <v>21</v>
      </c>
      <c r="B21" s="6">
        <v>0.07631909547738694</v>
      </c>
      <c r="C21" s="8" t="s">
        <v>22</v>
      </c>
    </row>
    <row r="22" spans="1:2" x14ac:dyDescent="0.25">
      <c r="A22" t="s">
        <v>23</v>
      </c>
      <c r="B22" s="11">
        <v>6792899584</v>
      </c>
    </row>
    <row r="23" spans="1:2" x14ac:dyDescent="0.25">
      <c r="A23" t="s">
        <v>24</v>
      </c>
      <c r="B23" s="11">
        <v>2856000000</v>
      </c>
    </row>
    <row r="24" spans="1:2" x14ac:dyDescent="0.25">
      <c r="A24" t="s">
        <v>25</v>
      </c>
      <c r="B24" s="10">
        <f>B22/(B22+B23)</f>
        <v>0.7040076979621721</v>
      </c>
    </row>
    <row r="25" spans="1:2" x14ac:dyDescent="0.25">
      <c r="A25" t="s">
        <v>26</v>
      </c>
      <c r="B25" s="10">
        <f>1-B24</f>
        <v>0.2959923020378279</v>
      </c>
    </row>
    <row r="26" spans="1:2" x14ac:dyDescent="0.25">
      <c r="A26" t="s">
        <v>27</v>
      </c>
      <c r="B26" s="12">
        <f>B24*B20+B25*B21*(1-B8)</f>
        <v>0.0697021434705285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19492000000</v>
      </c>
      <c r="C29" s="8" t="s">
        <v>30</v>
      </c>
    </row>
    <row r="30" spans="1:2" x14ac:dyDescent="0.25">
      <c r="A30" t="s">
        <v>31</v>
      </c>
      <c r="B30" s="11">
        <v>-1342000000</v>
      </c>
    </row>
    <row r="31" spans="1:2" x14ac:dyDescent="0.25">
      <c r="A31" t="s">
        <v>32</v>
      </c>
      <c r="B31" s="13">
        <v>4785000000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-0.06361927597519124</v>
      </c>
      <c r="C5" s="10">
        <f>Assumptions!B6</f>
        <v>-0.06361927597519124</v>
      </c>
      <c r="D5" s="10">
        <f>Assumptions!B6</f>
        <v>-0.06361927597519124</v>
      </c>
      <c r="E5" s="10">
        <f>Assumptions!B6</f>
        <v>-0.06361927597519124</v>
      </c>
      <c r="F5" s="10">
        <f>Assumptions!B6</f>
        <v>-0.06361927597519124</v>
      </c>
    </row>
    <row r="6" spans="1:6" x14ac:dyDescent="0.25">
      <c r="A6" t="s">
        <v>43</v>
      </c>
      <c r="B6" s="18">
        <f>Assumptions!B29*(1+B5)</f>
        <v>18251933072.691574</v>
      </c>
      <c r="C6" s="18">
        <f>B6*(1+C5)</f>
        <v>17090758305.45929</v>
      </c>
      <c r="D6" s="18">
        <f>C6*(1+D5)</f>
        <v>16003456636.198984</v>
      </c>
      <c r="E6" s="18">
        <f>D6*(1+E5)</f>
        <v>14985328311.903635</v>
      </c>
      <c r="F6" s="18">
        <f>E6*(1+F5)</f>
        <v>14031972574.449791</v>
      </c>
    </row>
    <row r="7" spans="1:6" x14ac:dyDescent="0.25">
      <c r="A7" t="s">
        <v>5</v>
      </c>
      <c r="B7" s="10">
        <f>Assumptions!B7</f>
        <v>0.10751573090826685</v>
      </c>
      <c r="C7" s="10">
        <f>Assumptions!B7</f>
        <v>0.10751573090826685</v>
      </c>
      <c r="D7" s="10">
        <f>Assumptions!B7</f>
        <v>0.10751573090826685</v>
      </c>
      <c r="E7" s="10">
        <f>Assumptions!B7</f>
        <v>0.10751573090826685</v>
      </c>
      <c r="F7" s="10">
        <f>Assumptions!B7</f>
        <v>0.10751573090826685</v>
      </c>
    </row>
    <row r="8" spans="1:6" x14ac:dyDescent="0.25">
      <c r="A8" t="s">
        <v>44</v>
      </c>
      <c r="B8" s="18">
        <f>B6*B7</f>
        <v>1962369924.7992034</v>
      </c>
      <c r="C8" s="18">
        <f>C6*C7</f>
        <v>1837525370.9879878</v>
      </c>
      <c r="D8" s="18">
        <f>D6*D7</f>
        <v>1720623337.2996874</v>
      </c>
      <c r="E8" s="18">
        <f>E6*E7</f>
        <v>1611158526.354664</v>
      </c>
      <c r="F8" s="18">
        <f>F6*F7</f>
        <v>1508657787.4267242</v>
      </c>
    </row>
    <row r="9" spans="1:6" x14ac:dyDescent="0.25">
      <c r="A9" t="s">
        <v>45</v>
      </c>
      <c r="B9" s="18">
        <f>B8*(1-Assumptions!B8)</f>
        <v>1471777443.5994024</v>
      </c>
      <c r="C9" s="18">
        <f>C8*(1-Assumptions!B8)</f>
        <v>1378144028.2409909</v>
      </c>
      <c r="D9" s="18">
        <f>D8*(1-Assumptions!B8)</f>
        <v>1290467502.9747655</v>
      </c>
      <c r="E9" s="18">
        <f>E8*(1-Assumptions!B8)</f>
        <v>1208368894.7659981</v>
      </c>
      <c r="F9" s="18">
        <f>F8*(1-Assumptions!B8)</f>
        <v>1131493340.570043</v>
      </c>
    </row>
    <row r="10" spans="1:6" x14ac:dyDescent="0.25">
      <c r="A10" t="s">
        <v>46</v>
      </c>
      <c r="B10" s="18">
        <f>B6*Assumptions!B9</f>
        <v>426494526.6337507</v>
      </c>
      <c r="C10" s="18">
        <f>C6*Assumptions!B9</f>
        <v>399361253.64192957</v>
      </c>
      <c r="D10" s="18">
        <f>D6*Assumptions!B9</f>
        <v>373954179.83268535</v>
      </c>
      <c r="E10" s="18">
        <f>E6*Assumptions!B9</f>
        <v>350163485.66383344</v>
      </c>
      <c r="F10" s="18">
        <f>F6*Assumptions!B9</f>
        <v>327886338.2329511</v>
      </c>
    </row>
    <row r="11" spans="1:6" x14ac:dyDescent="0.25">
      <c r="A11" t="s">
        <v>47</v>
      </c>
      <c r="B11" s="18">
        <f>-B6*Assumptions!B10</f>
        <v>-354093630.8946909</v>
      </c>
      <c r="C11" s="18">
        <f>-C6*Assumptions!B10</f>
        <v>-331566450.4697441</v>
      </c>
      <c r="D11" s="18">
        <f>-D6*Assumptions!B10</f>
        <v>-310472432.95319486</v>
      </c>
      <c r="E11" s="18">
        <f>-E6*Assumptions!B10</f>
        <v>-290720401.5584565</v>
      </c>
      <c r="F11" s="18">
        <f>-F6*Assumptions!B10</f>
        <v>-272224980.1000906</v>
      </c>
    </row>
    <row r="12" spans="1:6" x14ac:dyDescent="0.25">
      <c r="A12" t="s">
        <v>48</v>
      </c>
      <c r="B12" s="18">
        <f>-(B6-Assumptions!B29)*Assumptions!B11</f>
        <v>-47745892.388345815</v>
      </c>
      <c r="C12" s="18">
        <f>-(C6-B6)*Assumptions!B11</f>
        <v>-44708333.28380989</v>
      </c>
      <c r="D12" s="18">
        <f>-(D6-C6)*Assumptions!B11</f>
        <v>-41864021.490236364</v>
      </c>
      <c r="E12" s="18">
        <f>-(E6-D6)*Assumptions!B11</f>
        <v>-39200662.753617726</v>
      </c>
      <c r="F12" s="18">
        <f>-(F6-E6)*Assumptions!B11</f>
        <v>-36706744.97148491</v>
      </c>
    </row>
    <row r="13" spans="1:6" x14ac:dyDescent="0.25">
      <c r="A13" s="19" t="s">
        <v>49</v>
      </c>
      <c r="B13" s="20">
        <f>B9+B10+B11+B12</f>
        <v>1496432446.9501166</v>
      </c>
      <c r="C13" s="20">
        <f>C9+C10+C11+C12</f>
        <v>1401230498.1293666</v>
      </c>
      <c r="D13" s="20">
        <f>D9+D10+D11+D12</f>
        <v>1312085228.3640196</v>
      </c>
      <c r="E13" s="20">
        <f>E9+E10+E11+E12</f>
        <v>1228611316.1177573</v>
      </c>
      <c r="F13" s="20">
        <f>F9+F10+F11+F12</f>
        <v>1150447953.7314188</v>
      </c>
    </row>
    <row r="14" spans="1:6" x14ac:dyDescent="0.25">
      <c r="A14" t="s">
        <v>50</v>
      </c>
      <c r="B14" s="21">
        <f>1/(1+Assumptions!$B$26)^(1-0.5*Assumptions!$B$32)</f>
        <v>0.9668710726469918</v>
      </c>
      <c r="C14" s="21">
        <f>1/(1+Assumptions!$B$26)^(2-0.5*Assumptions!$B$32)</f>
        <v>0.9038694355702487</v>
      </c>
      <c r="D14" s="21">
        <f>1/(1+Assumptions!$B$26)^(3-0.5*Assumptions!$B$32)</f>
        <v>0.8449730058853073</v>
      </c>
      <c r="E14" s="21">
        <f>1/(1+Assumptions!$B$26)^(4-0.5*Assumptions!$B$32)</f>
        <v>0.7899142869284035</v>
      </c>
      <c r="F14" s="21">
        <f>1/(1+Assumptions!$B$26)^(5-0.5*Assumptions!$B$32)</f>
        <v>0.738443212206358</v>
      </c>
    </row>
    <row r="15" spans="1:6" x14ac:dyDescent="0.25">
      <c r="A15" s="19" t="s">
        <v>51</v>
      </c>
      <c r="B15" s="20">
        <f>B13*B14</f>
        <v>1446857245.126422</v>
      </c>
      <c r="C15" s="20">
        <f>C13*C14</f>
        <v>1266529419.448009</v>
      </c>
      <c r="D15" s="20">
        <f>D13*D14</f>
        <v>1108676599.3884556</v>
      </c>
      <c r="E15" s="20">
        <f>E13*E14</f>
        <v>970497631.6833256</v>
      </c>
      <c r="F15" s="20">
        <f>F13*F14</f>
        <v>849540482.4296604</v>
      </c>
    </row>
    <row r="17" spans="1:2" x14ac:dyDescent="0.25">
      <c r="A17" s="22" t="s">
        <v>52</v>
      </c>
      <c r="B17" s="23">
        <f>SUM(B15:F15)</f>
        <v>5642101378.075873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1150447953.7314188</v>
      </c>
    </row>
    <row r="5" spans="1:2" x14ac:dyDescent="0.25">
      <c r="A5" t="s">
        <v>56</v>
      </c>
      <c r="B5" s="18">
        <f>IF(Assumptions!$B$33=0,B4,B4-Forecast!F11-Forecast!F10-Forecast!F12)</f>
        <v>1184180860.4361649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0.16915301912780073</v>
      </c>
    </row>
    <row r="7" spans="1:2" x14ac:dyDescent="0.25">
      <c r="A7" t="s">
        <v>58</v>
      </c>
      <c r="B7" s="18">
        <f>-MAX(Forecast!F9,0)*B6</f>
        <v>-200307767.7361341</v>
      </c>
    </row>
    <row r="8" spans="1:2" x14ac:dyDescent="0.25">
      <c r="A8" t="s">
        <v>59</v>
      </c>
      <c r="B8" s="18">
        <f>IF(OR(Assumptions!$B$33=0,Assumptions!B12&lt;=0),B5,MAX(B5+B7,0))</f>
        <v>983873092.7000308</v>
      </c>
    </row>
    <row r="9" spans="1:2" x14ac:dyDescent="0.25">
      <c r="A9" t="s">
        <v>60</v>
      </c>
      <c r="B9" s="18">
        <f>B8*(1+Assumptions!B12)/(Assumptions!B26-Assumptions!B12)</f>
        <v>22559766528.475346</v>
      </c>
    </row>
    <row r="10" spans="1:2" x14ac:dyDescent="0.25">
      <c r="A10" t="s">
        <v>61</v>
      </c>
      <c r="B10" s="18">
        <f>B9/(1+Assumptions!B26)^(5-0.5*Assumptions!B32)</f>
        <v>16659106461.912811</v>
      </c>
    </row>
    <row r="11" spans="1:2" x14ac:dyDescent="0.25">
      <c r="A11" t="s">
        <v>62</v>
      </c>
      <c r="B11" s="18">
        <f>Forecast!B17+B10</f>
        <v>22301207839.988686</v>
      </c>
    </row>
    <row r="12" spans="1:2" x14ac:dyDescent="0.25">
      <c r="A12" t="s">
        <v>63</v>
      </c>
      <c r="B12" s="18">
        <f>-Assumptions!B30</f>
        <v>1342000000</v>
      </c>
    </row>
    <row r="13" spans="1:2" x14ac:dyDescent="0.25">
      <c r="A13" t="s">
        <v>64</v>
      </c>
      <c r="B13" s="18">
        <f>B11+B12</f>
        <v>23643207839.988686</v>
      </c>
    </row>
    <row r="14" spans="1:2" x14ac:dyDescent="0.25">
      <c r="A14" s="19" t="s">
        <v>65</v>
      </c>
      <c r="B14" s="24">
        <f>B13/Assumptions!B31</f>
        <v>4.941109266455316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1836544125.6596754</v>
      </c>
    </row>
    <row r="18" spans="1:2" x14ac:dyDescent="0.25">
      <c r="A18" t="s">
        <v>60</v>
      </c>
      <c r="B18" s="18">
        <f>B17*Assumptions!B13</f>
        <v>8349305763.599641</v>
      </c>
    </row>
    <row r="19" spans="1:2" x14ac:dyDescent="0.25">
      <c r="A19" t="s">
        <v>61</v>
      </c>
      <c r="B19" s="18">
        <f>B18/(1+Assumptions!B26)^(5-0.5*Assumptions!B32)</f>
        <v>6165488167.765577</v>
      </c>
    </row>
    <row r="20" spans="1:2" x14ac:dyDescent="0.25">
      <c r="A20" t="s">
        <v>62</v>
      </c>
      <c r="B20" s="18">
        <f>Forecast!B17+B19</f>
        <v>11807589545.84145</v>
      </c>
    </row>
    <row r="21" spans="1:2" x14ac:dyDescent="0.25">
      <c r="A21" t="s">
        <v>63</v>
      </c>
      <c r="B21" s="18">
        <f>-Assumptions!B30</f>
        <v>1342000000</v>
      </c>
    </row>
    <row r="22" spans="1:2" x14ac:dyDescent="0.25">
      <c r="A22" t="s">
        <v>64</v>
      </c>
      <c r="B22" s="18">
        <f>B20+B21</f>
        <v>13149589545.84145</v>
      </c>
    </row>
    <row r="23" spans="1:2" x14ac:dyDescent="0.25">
      <c r="A23" s="19" t="s">
        <v>65</v>
      </c>
      <c r="B23" s="25">
        <f>B22/Assumptions!B31</f>
        <v>2.7480855895175442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147.05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494.11092664553155</v>
      </c>
    </row>
    <row r="29" spans="1:2" x14ac:dyDescent="0.25">
      <c r="A29" s="19" t="s">
        <v>73</v>
      </c>
      <c r="B29" s="12">
        <f>B28/B26-1</f>
        <v>2.360155910544247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0.049702</v>
      </c>
      <c r="B5" s="31">
        <v>6.7392783558902885</v>
      </c>
      <c r="C5" s="31">
        <v>7.418386651796178</v>
      </c>
      <c r="D5" s="31">
        <v>8.369690629885826</v>
      </c>
      <c r="E5" s="31">
        <v>9.800424846689356</v>
      </c>
      <c r="F5" s="31">
        <v>12.199737280761266</v>
      </c>
    </row>
    <row r="6" spans="1:6" x14ac:dyDescent="0.25">
      <c r="A6" s="30">
        <v>0.059702</v>
      </c>
      <c r="B6" s="31">
        <v>5.373999341198134</v>
      </c>
      <c r="C6" s="31">
        <v>5.719687621094201</v>
      </c>
      <c r="D6" s="31">
        <v>6.163133634050357</v>
      </c>
      <c r="E6" s="31">
        <v>6.753706647991369</v>
      </c>
      <c r="F6" s="31">
        <v>7.580747809981152</v>
      </c>
    </row>
    <row r="7" spans="1:6" x14ac:dyDescent="0.25">
      <c r="A7" s="30">
        <v>0.069702</v>
      </c>
      <c r="B7" s="31">
        <v>4.506343310332884</v>
      </c>
      <c r="C7" s="31">
        <v>4.702485737941384</v>
      </c>
      <c r="D7" s="32">
        <v>4.9411228952354485</v>
      </c>
      <c r="E7" s="31">
        <v>5.238309916598322</v>
      </c>
      <c r="F7" s="31">
        <v>5.6193550828504755</v>
      </c>
    </row>
    <row r="8" spans="1:6" x14ac:dyDescent="0.25">
      <c r="A8" s="30">
        <v>0.079702</v>
      </c>
      <c r="B8" s="31">
        <v>3.9056417526487177</v>
      </c>
      <c r="C8" s="31">
        <v>4.024414890763136</v>
      </c>
      <c r="D8" s="31">
        <v>4.163816923900502</v>
      </c>
      <c r="E8" s="31">
        <v>4.330073626181458</v>
      </c>
      <c r="F8" s="31">
        <v>4.532196228359751</v>
      </c>
    </row>
    <row r="9" spans="1:6" x14ac:dyDescent="0.25">
      <c r="A9" s="30">
        <v>0.089702</v>
      </c>
      <c r="B9" s="31">
        <v>3.464736957803906</v>
      </c>
      <c r="C9" s="31">
        <v>3.5395788266757333</v>
      </c>
      <c r="D9" s="31">
        <v>3.6251087501136436</v>
      </c>
      <c r="E9" s="31">
        <v>3.724012079001885</v>
      </c>
      <c r="F9" s="31">
        <v>3.839955975085089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19492000000</v>
      </c>
      <c r="C5" s="18">
        <v>19913000000</v>
      </c>
      <c r="D5" s="18">
        <v>26458000000</v>
      </c>
      <c r="E5" s="18">
        <v>23741000000</v>
      </c>
      <c r="F5" s="8" t="s">
        <v>84</v>
      </c>
    </row>
    <row r="6" spans="1:6" x14ac:dyDescent="0.25">
      <c r="A6" t="s">
        <v>44</v>
      </c>
      <c r="B6" s="18">
        <v>771000000</v>
      </c>
      <c r="C6" s="18">
        <v>1948000000</v>
      </c>
      <c r="D6" s="18">
        <v>7551000000</v>
      </c>
      <c r="E6" s="18">
        <v>173000000</v>
      </c>
      <c r="F6" s="8" t="s">
        <v>85</v>
      </c>
    </row>
    <row r="7" spans="1:6" x14ac:dyDescent="0.25">
      <c r="A7" t="s">
        <v>86</v>
      </c>
      <c r="B7" s="18">
        <v>428000000</v>
      </c>
      <c r="C7" s="18">
        <v>473000000</v>
      </c>
      <c r="D7" s="18">
        <v>518000000</v>
      </c>
      <c r="E7" s="18">
        <v>669000000</v>
      </c>
      <c r="F7" s="8" t="s">
        <v>87</v>
      </c>
    </row>
    <row r="8" spans="1:6" x14ac:dyDescent="0.25">
      <c r="A8" t="s">
        <v>88</v>
      </c>
      <c r="B8" s="18">
        <v>554000000</v>
      </c>
      <c r="C8" s="18">
        <v>416000000</v>
      </c>
      <c r="D8" s="18">
        <v>335000000</v>
      </c>
      <c r="E8" s="18">
        <v>371000000</v>
      </c>
      <c r="F8" s="8" t="s">
        <v>89</v>
      </c>
    </row>
    <row r="9" spans="1:6" x14ac:dyDescent="0.25">
      <c r="A9" t="s">
        <v>90</v>
      </c>
      <c r="B9" s="18">
        <v>-164000000</v>
      </c>
      <c r="C9" s="18">
        <v>252000000</v>
      </c>
      <c r="D9" s="18">
        <v>-244000000</v>
      </c>
      <c r="E9" s="18">
        <v>656000000</v>
      </c>
      <c r="F9" s="8" t="s">
        <v>91</v>
      </c>
    </row>
    <row r="10" spans="1:6" x14ac:dyDescent="0.25">
      <c r="A10" t="s">
        <v>92</v>
      </c>
      <c r="B10" s="18">
        <v>2856000000</v>
      </c>
      <c r="C10" s="18">
        <v>3512000000</v>
      </c>
      <c r="D10" s="18">
        <v>4103000000</v>
      </c>
      <c r="E10" s="18">
        <v>4017000000</v>
      </c>
      <c r="F10" s="8" t="s">
        <v>93</v>
      </c>
    </row>
    <row r="11" spans="1:6" x14ac:dyDescent="0.25">
      <c r="A11" t="s">
        <v>94</v>
      </c>
      <c r="B11" s="18">
        <v>4198000000</v>
      </c>
      <c r="C11" s="18">
        <v>6223000000</v>
      </c>
      <c r="D11" s="18">
        <v>6339000000</v>
      </c>
      <c r="E11" s="18">
        <v>4287000000</v>
      </c>
      <c r="F11" s="8" t="s">
        <v>95</v>
      </c>
    </row>
    <row r="12" spans="1:6" x14ac:dyDescent="0.25">
      <c r="A12" t="s">
        <v>32</v>
      </c>
      <c r="B12" s="34">
        <v>4785000000</v>
      </c>
      <c r="C12" s="34">
        <v>5306772908</v>
      </c>
      <c r="D12" s="34">
        <v>5661383285</v>
      </c>
      <c r="E12" s="34">
        <v>5869000000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2026-09-19T00:07:11Z</dcterms:modified>
</cp:coreProperties>
</file>